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iZDorGq5IbvmflEGS0Geo9LECpWpRgJSt188/wh46TbQSQL52vJt5u5ddbsrBxu/NFa1+4aWt5+DBQEPLRbhLA==" workbookSaltValue="OcVYc/n0Sb1wZUPJ1Ri5g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R8" i="9"/>
  <c r="BH11" i="16" s="1"/>
  <c r="F16" i="11"/>
  <c r="AQ16" i="11" s="1"/>
  <c r="EP31" i="8"/>
  <c r="AL14" i="16"/>
  <c r="AJ14" i="16"/>
  <c r="EP31" i="19"/>
  <c r="S14" i="16"/>
  <c r="P14" i="16"/>
  <c r="F13" i="16"/>
  <c r="Z14" i="17"/>
  <c r="R30" i="17"/>
  <c r="K26" i="2"/>
  <c r="N26"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F25" i="2" l="1"/>
  <c r="BF17" i="8"/>
  <c r="M23" i="2"/>
  <c r="AL21" i="11"/>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K9" i="12"/>
  <c r="BJ23"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AW32" i="17"/>
  <c r="L32" i="21"/>
  <c r="AF32" i="11"/>
  <c r="AK32" i="16"/>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K32" i="21"/>
  <c r="AF32" i="17"/>
  <c r="AY32" i="16"/>
  <c r="BF32" i="16"/>
  <c r="AS32" i="17"/>
  <c r="AL32" i="17"/>
  <c r="I32" i="21"/>
  <c r="U32" i="1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<sst xmlns="http://schemas.openxmlformats.org/spreadsheetml/2006/main" count="2682" uniqueCount="1193">
  <si>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</si>
  <si>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</si>
  <si>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</si>
  <si>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</si>
  <si>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</si>
  <si>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</si>
  <si>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</si>
  <si>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</si>
  <si>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</si>
  <si>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</si>
  <si>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</si>
  <si>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</si>
  <si>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</si>
  <si>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</si>
  <si>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</si>
  <si>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</si>
  <si>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</si>
  <si>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</si>
  <si>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</si>
  <si>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</si>
  <si>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</si>
  <si>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</si>
  <si>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</si>
  <si>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</si>
  <si>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</si>
  <si>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</si>
  <si>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</si>
  <si>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</si>
  <si>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</si>
  <si>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</si>
  <si>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</si>
  <si>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</si>
  <si>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</si>
  <si>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</si>
  <si>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</si>
  <si>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</si>
  <si>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</si>
  <si>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</si>
  <si>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</si>
  <si>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</si>
  <si>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</si>
  <si>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</si>
  <si>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</si>
  <si>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</si>
  <si>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</si>
  <si>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</si>
  <si>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</si>
  <si>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</si>
  <si>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</si>
  <si>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</si>
  <si>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</si>
  <si>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</si>
  <si>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</si>
  <si>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</si>
  <si>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</si>
  <si>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</si>
  <si>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</si>
  <si>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</si>
  <si>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</si>
  <si>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</si>
  <si>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</si>
  <si>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</si>
  <si>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</si>
  <si>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</si>
  <si>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</si>
  <si>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</si>
  <si>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</si>
  <si>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</si>
  <si>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</si>
  <si>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</si>
  <si>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</si>
  <si>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</si>
  <si>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</si>
  <si>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</si>
  <si>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</si>
  <si>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</si>
  <si>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</si>
  <si>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</si>
  <si>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</si>
  <si>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</si>
  <si>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</si>
  <si>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</si>
  <si>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</si>
  <si>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</si>
  <si>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</si>
  <si>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</si>
  <si>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</si>
  <si>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</si>
  <si>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</si>
  <si>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</si>
  <si>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</si>
  <si>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</si>
  <si>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</si>
  <si>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</si>
  <si>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</si>
  <si>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</si>
  <si>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</si>
  <si>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</si>
  <si>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</si>
  <si>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</si>
  <si>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</si>
  <si>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</si>
  <si>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</si>
  <si>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</si>
  <si>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</si>
  <si>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</si>
  <si>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</si>
  <si>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</si>
  <si>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</si>
  <si>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</si>
  <si>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</si>
  <si>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</si>
  <si>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</si>
  <si>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</si>
  <si>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</si>
  <si>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</si>
  <si>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</si>
  <si>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</si>
  <si>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</si>
  <si>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</si>
  <si>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</si>
  <si>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</si>
  <si>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</si>
  <si>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</si>
  <si>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</si>
  <si>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</si>
  <si>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</si>
  <si>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</si>
  <si>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</si>
  <si>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</si>
  <si>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</si>
  <si>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</si>
  <si>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</si>
  <si>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</si>
  <si>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</si>
  <si>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</si>
  <si>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</si>
  <si>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</si>
  <si>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</si>
  <si>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</si>
  <si>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</si>
  <si>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</si>
  <si>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</si>
  <si>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</si>
  <si>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</si>
  <si>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</si>
  <si>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</si>
  <si>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</si>
  <si>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</si>
  <si>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</si>
  <si>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</si>
  <si>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</si>
  <si>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</si>
  <si>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</si>
  <si>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</si>
  <si>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</si>
  <si>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</si>
  <si>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</si>
  <si>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</si>
  <si>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</si>
  <si>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</si>
  <si>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</si>
  <si>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</si>
  <si>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</si>
  <si>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</si>
  <si>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</si>
  <si>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</si>
  <si>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</si>
  <si>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</si>
  <si>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</si>
  <si>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</si>
  <si>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</si>
  <si>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</si>
  <si>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</si>
  <si>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</si>
  <si>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</si>
  <si>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</si>
  <si>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</si>
  <si>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</si>
  <si>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</si>
  <si>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</si>
  <si>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</si>
  <si>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</si>
  <si>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</si>
  <si>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</si>
  <si>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</si>
  <si>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</si>
  <si>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</si>
  <si>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</si>
  <si>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</si>
  <si>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</si>
  <si>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</si>
  <si>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</si>
  <si>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</si>
  <si>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</si>
  <si>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</si>
  <si>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</si>
  <si>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</si>
  <si>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</si>
  <si>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</si>
  <si>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</si>
  <si>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</si>
  <si>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</si>
  <si>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</si>
  <si>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</si>
  <si>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</si>
  <si>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</si>
  <si>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</si>
  <si>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</si>
  <si>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</si>
  <si>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</si>
  <si>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</si>
  <si>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</si>
  <si>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</si>
  <si>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</si>
  <si>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</si>
  <si>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</si>
  <si>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</si>
  <si>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</si>
  <si>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</si>
  <si>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</si>
  <si>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</si>
  <si>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</si>
  <si>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</si>
  <si>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</si>
  <si>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</si>
  <si>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</si>
  <si>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</si>
  <si>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</si>
  <si>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</si>
  <si>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</si>
  <si>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</si>
  <si>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</si>
  <si>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</si>
  <si>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</si>
  <si>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</si>
  <si>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</si>
  <si>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</si>
  <si>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</si>
  <si>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</si>
  <si>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</si>
  <si>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</si>
  <si>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</si>
  <si>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</si>
  <si>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</si>
  <si>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</si>
  <si>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</si>
  <si>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</si>
  <si>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</si>
  <si>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</si>
  <si>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</si>
  <si>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</si>
  <si>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</si>
  <si>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</si>
  <si>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</si>
  <si>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</si>
  <si>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</si>
  <si>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</si>
  <si>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</si>
  <si>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</si>
  <si>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</si>
  <si>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</si>
  <si>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</si>
  <si>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</si>
  <si>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</si>
  <si>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</si>
  <si>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</si>
  <si>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</si>
  <si>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</si>
  <si>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</si>
  <si>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</si>
  <si>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</si>
  <si>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</si>
  <si>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</si>
  <si>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</si>
  <si>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</si>
  <si>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</si>
  <si>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</si>
  <si>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</si>
  <si>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</si>
  <si>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</si>
  <si>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</si>
  <si>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</si>
  <si>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</si>
  <si>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</si>
  <si>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</si>
  <si>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</si>
  <si>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</si>
  <si>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</si>
  <si>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</si>
  <si>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</si>
  <si>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</si>
  <si>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</si>
  <si>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</si>
  <si>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</si>
  <si>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</si>
  <si>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</si>
  <si>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</si>
  <si>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</si>
  <si>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</si>
  <si>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</si>
  <si>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</si>
  <si>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</si>
  <si>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</si>
  <si>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</si>
  <si>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</si>
  <si>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</si>
  <si>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</si>
  <si>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</si>
  <si>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</si>
  <si>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</si>
  <si>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</si>
  <si>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</si>
  <si>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</si>
  <si>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</si>
  <si>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</si>
  <si>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</si>
  <si>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</si>
  <si>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</si>
  <si>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</si>
  <si>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</si>
  <si>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</si>
  <si>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</si>
  <si>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</si>
  <si>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</si>
  <si>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</si>
  <si>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</si>
  <si>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</si>
  <si>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</si>
  <si>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</si>
  <si>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</si>
  <si>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</si>
  <si>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</si>
  <si>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</si>
  <si>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</si>
  <si>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</si>
  <si>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</si>
  <si>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</si>
  <si>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</si>
  <si>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</si>
  <si>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</si>
  <si>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</si>
  <si>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</si>
  <si>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</si>
  <si>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</si>
  <si>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</si>
  <si>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</si>
  <si>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</si>
  <si>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</si>
  <si>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</si>
  <si>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</si>
  <si>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</si>
  <si>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</si>
  <si>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</si>
  <si>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</si>
  <si>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</si>
  <si>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</si>
  <si>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</si>
  <si>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</si>
  <si>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</si>
  <si>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</si>
  <si>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</si>
  <si>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</si>
  <si>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</si>
  <si>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</si>
  <si>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</si>
  <si>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</si>
  <si>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</si>
  <si>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</si>
  <si>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</si>
  <si>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</si>
  <si>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</si>
  <si>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</si>
  <si>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</si>
  <si>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</si>
  <si>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</si>
  <si>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</si>
  <si>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</si>
  <si>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</si>
  <si>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</si>
  <si>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</si>
  <si>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</si>
  <si>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</si>
  <si>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</si>
  <si>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</si>
  <si>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</si>
  <si>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</si>
  <si>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</si>
  <si>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</si>
  <si>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</si>
  <si>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</si>
  <si>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</si>
  <si>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</si>
  <si>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</si>
  <si>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</si>
  <si>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</si>
  <si>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</si>
  <si>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</si>
  <si>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</si>
  <si>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</si>
  <si>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</si>
  <si>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</si>
  <si>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</si>
  <si>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</si>
  <si>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</si>
  <si>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</si>
  <si>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</si>
  <si>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</si>
  <si>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</si>
  <si>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</si>
  <si>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</si>
  <si>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</si>
  <si>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</si>
  <si>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</si>
  <si>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</si>
  <si>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</si>
  <si>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</si>
  <si>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</si>
  <si>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</si>
  <si>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</si>
  <si>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</si>
  <si>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</si>
  <si>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</si>
  <si>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</si>
  <si>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</si>
  <si>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</si>
  <si>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</si>
  <si>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</si>
  <si>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</si>
  <si>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</si>
  <si>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</si>
  <si>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</si>
  <si>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</si>
  <si>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</si>
  <si>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</si>
  <si>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</si>
  <si>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</si>
  <si>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</si>
  <si>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</si>
  <si>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</si>
  <si>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</si>
  <si>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</si>
  <si>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</si>
  <si>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</si>
  <si>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</si>
  <si>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</si>
  <si>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</si>
  <si>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</si>
  <si>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</si>
  <si>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</si>
  <si>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</si>
  <si>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</si>
  <si>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</si>
  <si>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</si>
  <si>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</si>
  <si>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</si>
  <si>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</si>
  <si>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</si>
  <si>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</si>
  <si>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</si>
  <si>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</si>
  <si>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</si>
  <si>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</si>
  <si>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</si>
  <si>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</si>
  <si>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</si>
  <si>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</si>
  <si>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</si>
  <si>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</si>
  <si>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</si>
  <si>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</si>
  <si>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</si>
  <si>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</si>
  <si>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</si>
  <si>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</si>
  <si>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</si>
  <si>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</si>
  <si>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</si>
  <si>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</si>
  <si>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</si>
  <si>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</si>
  <si>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</si>
  <si>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</si>
  <si>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</si>
  <si>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</si>
  <si>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</si>
  <si>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</si>
  <si>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</si>
  <si>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</si>
  <si>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</si>
  <si>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</si>
  <si>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</si>
  <si>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</si>
  <si>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</si>
  <si>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</si>
  <si>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</si>
  <si>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</si>
  <si>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</si>
  <si>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</si>
  <si>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</si>
  <si>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</si>
  <si>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</si>
  <si>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</si>
  <si>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</si>
  <si>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</si>
  <si>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</si>
  <si>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</si>
  <si>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</si>
  <si>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</si>
  <si>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</si>
  <si>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</si>
  <si>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</si>
  <si>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</si>
  <si>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</si>
  <si>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</si>
  <si>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</si>
  <si>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</si>
  <si>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</si>
  <si>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</si>
  <si>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</si>
  <si>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</si>
  <si>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</si>
  <si>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</si>
  <si>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</si>
  <si>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</si>
  <si>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</si>
  <si>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</si>
  <si>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</si>
  <si>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</si>
  <si>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</si>
  <si>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</si>
  <si>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</si>
  <si>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</si>
  <si>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</si>
  <si>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</si>
  <si>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</si>
  <si>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</si>
  <si>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</si>
  <si>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</si>
  <si>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</si>
  <si>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</si>
  <si>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</si>
  <si>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</si>
  <si>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</si>
  <si>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</si>
  <si>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</si>
  <si>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</si>
  <si>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</si>
  <si>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</si>
  <si>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</si>
  <si>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</si>
  <si>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</si>
  <si>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</si>
  <si>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</si>
  <si>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</si>
  <si>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</si>
  <si>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</si>
  <si>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</si>
  <si>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</si>
  <si>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</si>
  <si>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</si>
  <si>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</si>
  <si>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</si>
  <si>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</si>
  <si>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</si>
  <si>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</si>
  <si>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</si>
  <si>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</si>
  <si>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</si>
  <si>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</si>
  <si>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</si>
  <si>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</si>
  <si>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</si>
  <si>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</si>
  <si>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</si>
  <si>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</si>
  <si>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</si>
  <si>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</si>
  <si>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</si>
  <si>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</si>
  <si>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</si>
  <si>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</si>
  <si>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</si>
  <si>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</si>
  <si>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</si>
  <si>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</si>
  <si>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</si>
  <si>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</si>
  <si>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</si>
  <si>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</si>
  <si>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</si>
  <si>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</si>
  <si>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</si>
  <si>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</si>
  <si>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</si>
  <si>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</si>
  <si>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</si>
  <si>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</si>
  <si>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</si>
  <si>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</si>
  <si>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</si>
  <si>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</si>
  <si>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</si>
  <si>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</si>
  <si>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</si>
  <si>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</si>
  <si>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</si>
  <si>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</si>
  <si>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</si>
  <si>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</si>
  <si>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</si>
  <si>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</si>
  <si>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</si>
  <si>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</si>
  <si>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</si>
  <si>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</si>
  <si>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</si>
  <si>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</si>
  <si>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</si>
  <si>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</si>
  <si>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</si>
  <si>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</si>
  <si>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</si>
  <si>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</si>
  <si>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</si>
  <si>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</si>
  <si>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</si>
  <si>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</si>
  <si>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</si>
  <si>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</si>
  <si>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</si>
  <si>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</si>
  <si>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</si>
  <si>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</si>
  <si>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</si>
  <si>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</si>
  <si>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</si>
  <si>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</si>
  <si>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</si>
  <si>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</si>
  <si>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</si>
  <si>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</si>
  <si>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</si>
  <si>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</si>
  <si>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</si>
  <si>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</si>
  <si>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</si>
  <si>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</si>
  <si>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</si>
  <si>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</si>
  <si>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</si>
  <si>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</si>
  <si>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</si>
  <si>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</si>
  <si>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</si>
  <si>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</si>
  <si>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</si>
  <si>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</si>
  <si>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</si>
  <si>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</si>
  <si>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</si>
  <si>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</si>
  <si>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</si>
  <si>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</si>
  <si>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</si>
  <si>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</si>
  <si>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</si>
  <si>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</si>
  <si>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</si>
  <si>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</si>
  <si>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</si>
  <si>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</si>
  <si>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</si>
  <si>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</si>
  <si>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</si>
  <si>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</si>
  <si>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</si>
  <si>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</si>
  <si>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</si>
  <si>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</si>
  <si>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</si>
  <si>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</si>
  <si>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</si>
  <si>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</si>
  <si>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</si>
  <si>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</si>
  <si>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</si>
  <si>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</si>
  <si>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</si>
  <si>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</si>
  <si>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</si>
  <si>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</si>
  <si>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</si>
  <si>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</si>
  <si>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</si>
  <si>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</si>
  <si>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</si>
  <si>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</si>
  <si>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</si>
  <si>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</si>
  <si>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</si>
  <si>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</si>
  <si>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</si>
  <si>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</si>
  <si>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</si>
  <si>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</si>
  <si>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</si>
  <si>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</si>
  <si>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</si>
  <si>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</si>
  <si>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</si>
  <si>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</si>
  <si>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</si>
  <si>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</si>
  <si>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</si>
  <si>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</si>
  <si>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</si>
  <si>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</si>
  <si>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</si>
  <si>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</si>
  <si>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</si>
  <si>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</si>
  <si>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</si>
  <si>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</si>
  <si>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</si>
  <si>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</si>
  <si>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</si>
  <si>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</si>
  <si>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</si>
  <si>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</si>
  <si>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</si>
  <si>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</si>
  <si>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</si>
  <si>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</si>
  <si>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</si>
  <si>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</si>
  <si>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</si>
  <si>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</si>
  <si>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</si>
  <si>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</si>
  <si>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</si>
  <si>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</si>
  <si>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</si>
  <si>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</si>
  <si>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</si>
  <si>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</si>
  <si>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</si>
  <si>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</si>
  <si>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</si>
  <si>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</si>
  <si>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</si>
  <si>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</si>
  <si>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</si>
  <si>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</si>
  <si>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</si>
  <si>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</si>
  <si>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</si>
  <si>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</si>
  <si>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</si>
  <si>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</si>
  <si>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</si>
  <si>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</si>
  <si>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</si>
  <si>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</si>
  <si>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</si>
  <si>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</si>
  <si>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</si>
  <si>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</si>
  <si>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</si>
  <si>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</si>
  <si>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</si>
  <si>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</si>
  <si>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</si>
  <si>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</si>
  <si>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</si>
  <si>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</si>
  <si>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</si>
  <si>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</si>
  <si>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</si>
  <si>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</si>
  <si>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</si>
  <si>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</si>
  <si>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</si>
  <si>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</si>
  <si>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</si>
  <si>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</si>
  <si>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</si>
  <si>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</si>
  <si>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</si>
  <si>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</si>
  <si>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</si>
  <si>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</si>
  <si>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</si>
  <si>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</si>
  <si>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</si>
  <si>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</si>
  <si>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</si>
  <si>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</si>
  <si>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</si>
  <si>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</si>
  <si>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</si>
  <si>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</si>
  <si>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</si>
  <si>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</si>
  <si>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</si>
  <si>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</si>
  <si>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</si>
  <si>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</si>
  <si>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</si>
  <si>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</si>
  <si>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</si>
  <si>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</si>
  <si>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</si>
  <si>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</si>
  <si>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</si>
  <si>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</si>
  <si>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</si>
  <si>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</si>
  <si>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</si>
  <si>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</si>
  <si>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</si>
  <si>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</si>
  <si>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</si>
  <si>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</si>
  <si>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</si>
  <si>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</si>
  <si>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</si>
  <si>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</si>
  <si>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</si>
  <si>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</si>
  <si>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</si>
  <si>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</si>
  <si>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</si>
  <si>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</si>
  <si>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</si>
  <si>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</si>
  <si>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</si>
  <si>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</si>
  <si>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</si>
  <si>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</si>
  <si>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</si>
  <si>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</si>
  <si>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</si>
  <si>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</si>
  <si>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</si>
  <si>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</si>
  <si>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</si>
  <si>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</si>
  <si>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</si>
  <si>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</si>
  <si>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</si>
  <si>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</si>
  <si>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</si>
  <si>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</si>
  <si>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</si>
  <si>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</si>
  <si>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</si>
  <si>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</si>
  <si>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</si>
  <si>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</si>
  <si>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</si>
  <si>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</si>
  <si>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</si>
  <si>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</si>
  <si>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</si>
  <si>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</si>
  <si>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</si>
  <si>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</si>
  <si>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</si>
  <si>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</si>
  <si>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</si>
  <si>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</si>
  <si>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</si>
  <si>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</si>
  <si>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</si>
  <si>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</si>
  <si>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</si>
  <si>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</si>
  <si>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</si>
  <si>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</si>
  <si>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</si>
  <si>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</si>
  <si>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</si>
  <si>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</si>
  <si>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</si>
  <si>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</si>
  <si>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</si>
  <si>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</si>
  <si>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</si>
  <si>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</si>
  <si>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</si>
  <si>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</si>
  <si>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</si>
  <si>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</si>
  <si>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</si>
  <si>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</si>
  <si>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</si>
  <si>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</si>
  <si>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</si>
  <si>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</si>
  <si>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</si>
  <si>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</si>
  <si>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</si>
  <si>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</si>
  <si>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</si>
  <si>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</si>
  <si>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</si>
  <si>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</si>
  <si>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</si>
  <si>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</si>
  <si>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</si>
  <si>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</si>
  <si>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</si>
  <si>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</si>
  <si>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</si>
  <si>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</si>
  <si>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</si>
  <si>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</si>
  <si>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</si>
  <si>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</si>
  <si>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</si>
  <si>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</si>
  <si>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</si>
  <si>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</si>
  <si>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</si>
  <si>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</si>
  <si>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</si>
  <si>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</si>
  <si>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</si>
  <si>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</si>
  <si>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</si>
  <si>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</si>
  <si>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</si>
  <si>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</si>
  <si>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</si>
  <si>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</si>
  <si>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</si>
  <si>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</si>
  <si>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</si>
  <si>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</si>
  <si>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</si>
  <si>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</si>
  <si>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</si>
  <si>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</si>
  <si>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</si>
  <si>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</si>
  <si>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</si>
  <si>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</si>
  <si>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</si>
  <si>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</si>
  <si>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</si>
  <si>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</si>
  <si>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</si>
  <si>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</si>
  <si>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</si>
  <si>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</si>
  <si>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</si>
  <si>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</si>
  <si>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</si>
  <si>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</si>
  <si>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</si>
  <si>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</si>
  <si>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</si>
  <si>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</si>
  <si>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</si>
  <si>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</si>
  <si>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</si>
  <si>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</si>
  <si>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</si>
  <si>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</si>
  <si>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</si>
  <si>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</si>
  <si>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</si>
  <si>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</si>
  <si>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</si>
  <si>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</si>
  <si>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</si>
  <si>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</si>
  <si>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</si>
  <si>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</si>
  <si>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</si>
  <si>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</si>
  <si>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</si>
  <si>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</si>
  <si>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</si>
  <si>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</si>
  <si>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</si>
  <si>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</si>
  <si>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</si>
  <si>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</si>
  <si>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</si>
  <si>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</si>
  <si>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</si>
  <si>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</si>
  <si>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</si>
  <si>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</si>
  <si>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</si>
  <si>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</si>
  <si>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</si>
  <si>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</si>
  <si>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</si>
  <si>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</si>
  <si>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</si>
  <si>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</si>
  <si>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</si>
  <si>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</si>
  <si>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</si>
  <si>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</si>
  <si>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</si>
  <si>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</si>
  <si>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</si>
  <si>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</si>
  <si>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</si>
  <si>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</si>
  <si>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</si>
  <si>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</si>
  <si>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</si>
  <si>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</si>
  <si>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</si>
  <si>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</si>
  <si>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</si>
  <si>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</si>
  <si>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</si>
  <si>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</si>
  <si>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</si>
  <si>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</si>
  <si>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</si>
  <si>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</si>
  <si>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</si>
  <si>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</si>
  <si>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</si>
  <si>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</si>
  <si>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</si>
  <si>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</si>
  <si>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</si>
  <si>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</si>
  <si>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</si>
  <si>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</si>
  <si>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</si>
  <si>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</si>
  <si>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</si>
  <si>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</si>
  <si>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</si>
  <si>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</si>
  <si>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</si>
  <si>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</si>
  <si>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</si>
  <si>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</si>
  <si>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</si>
  <si>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</si>
  <si>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</si>
  <si>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</si>
  <si>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</si>
  <si>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</si>
  <si>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</si>
  <si>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</si>
  <si>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</si>
  <si>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</si>
  <si>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</si>
  <si>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</si>
  <si>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</si>
  <si>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</si>
  <si>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</si>
  <si>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</si>
  <si>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</si>
  <si>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</si>
  <si>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</si>
  <si>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</si>
  <si>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</si>
  <si>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</si>
  <si>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</si>
  <si>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</si>
  <si>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</si>
  <si>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</si>
  <si>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</si>
  <si>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</si>
  <si>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</si>
  <si>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</si>
  <si>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</si>
  <si>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</si>
  <si>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</si>
  <si>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</si>
  <si>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</si>
  <si>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</si>
  <si>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</si>
  <si>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</si>
  <si>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</si>
  <si>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</si>
  <si>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</si>
  <si>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</si>
  <si>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</si>
  <si>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</si>
  <si>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</si>
  <si>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</si>
  <si>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</si>
  <si>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</si>
  <si>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</si>
  <si>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</si>
  <si>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</si>
  <si>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</si>
  <si>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</si>
  <si>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</si>
  <si>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</si>
  <si>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</si>
  <si>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</si>
  <si>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</si>
  <si>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</si>
  <si>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</si>
  <si>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</si>
  <si>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</si>
  <si>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</si>
  <si>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</si>
  <si>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</si>
  <si>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</si>
  <si>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</si>
  <si>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</si>
  <si>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</si>
  <si>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</si>
  <si>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</si>
  <si>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</si>
  <si>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</si>
  <si>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</si>
  <si>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</si>
  <si>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</si>
  <si>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</si>
  <si>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</si>
  <si>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</si>
  <si>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</si>
  <si>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</si>
  <si>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</si>
  <si>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</si>
  <si>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</si>
  <si>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</si>
  <si>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</si>
  <si>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</si>
  <si>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</si>
  <si>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</si>
  <si>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</si>
  <si>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</si>
  <si>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</si>
  <si>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</si>
  <si>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</si>
  <si>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</si>
  <si>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</si>
  <si>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</si>
  <si>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</si>
  <si>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</si>
  <si>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</si>
  <si>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</si>
  <si>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</si>
  <si>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</si>
  <si>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</si>
  <si>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</si>
  <si>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</si>
  <si>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</si>
  <si>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</si>
  <si>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</si>
  <si>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</si>
  <si>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</si>
  <si>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</si>
  <si>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</si>
  <si>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</si>
  <si>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</si>
  <si>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</si>
  <si>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</si>
  <si>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</si>
  <si>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</si>
  <si>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</si>
  <si>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</si>
  <si>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</si>
  <si>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</si>
  <si>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</si>
  <si>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</si>
  <si>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</si>
  <si>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</si>
  <si>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</si>
  <si>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</si>
  <si>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</si>
  <si>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</si>
  <si>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</si>
  <si>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</si>
  <si>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</si>
  <si>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</si>
  <si>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</si>
  <si>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</si>
  <si>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</si>
  <si>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</si>
  <si>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</si>
  <si>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</si>
  <si>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</si>
  <si>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ALICANTE-ALACANT</t>
  </si>
  <si>
    <t>Resumenes por Partidos Judiciales</t>
  </si>
  <si>
    <t>NOVELDA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</si>
</sst>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Jed60V2xUKeebNriN19WXDxAP3cYFf8V8X4hIv6pm+XJ0g+WgLkyg9jF6fotjfmW2U7V+dBAe0wiZlp8xUQVA==" saltValue="TmHjUW/kczeTImFJd71B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33</v>
      </c>
      <c r="D10" s="239">
        <f>IF(ISNUMBER(Datos!I10),Datos!I10," - ")</f>
        <v>33</v>
      </c>
      <c r="E10" s="240">
        <f>IF(ISNUMBER(Datos!J10),Datos!J10," - ")</f>
        <v>13</v>
      </c>
      <c r="F10" s="240">
        <f>IF(ISNUMBER(Datos!K10),Datos!K10," - ")</f>
        <v>0</v>
      </c>
      <c r="G10" s="1390" t="str">
        <f>IF(Datos!E10&lt;&gt;"",Datos!E10,Datos!D10)</f>
        <v>37</v>
      </c>
      <c r="H10" s="241">
        <f>IF(ISNUMBER(Datos!L10),Datos!L10," - ")</f>
        <v>46</v>
      </c>
      <c r="I10" s="1400" t="str">
        <f>IF(ISNUMBER(Datos!AS10/Datos!BM10),Datos!AS10/Datos!BM10," - ")</f>
        <v xml:space="preserve"> - </v>
      </c>
      <c r="J10" s="1401">
        <f>IF(ISNUMBER(Datos!BY10/Datos!CN10),Datos!BY10/Datos!CN10," - ")</f>
        <v>0</v>
      </c>
      <c r="K10" s="244">
        <f t="shared" ref="K10:K13" si="1">IF(ISNUMBER((E10-F10)/C10),(E10-F10)/C10," - ")</f>
        <v>0.39393939393939392</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57.310152990264257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33</v>
      </c>
      <c r="D14" s="1407">
        <f>SUBTOTAL(9,D9:D13)</f>
        <v>33</v>
      </c>
      <c r="E14" s="1408">
        <f>SUBTOTAL(9,E9:E13)</f>
        <v>13</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1175</v>
      </c>
      <c r="D17" s="239">
        <f>IF(ISNUMBER(IF(D_I="SI",Datos!I17,Datos!I17+Datos!AC17)),IF(D_I="SI",Datos!I17,Datos!I17+Datos!AC17)," - ")</f>
        <v>1175</v>
      </c>
      <c r="E17" s="240">
        <f>IF(ISNUMBER(IF(D_I="SI",Datos!J17,Datos!J17+Datos!AD17)),IF(D_I="SI",Datos!J17,Datos!J17+Datos!AD17)," - ")</f>
        <v>711</v>
      </c>
      <c r="F17" s="240">
        <f>IF(ISNUMBER(IF(D_I="SI",Datos!K17,Datos!K17+Datos!AE17)),IF(D_I="SI",Datos!K17,Datos!K17+Datos!AE17)," - ")</f>
        <v>616</v>
      </c>
      <c r="G17" s="1390" t="str">
        <f>IF(Datos!E17&lt;&gt;"",Datos!E17,Datos!D17)</f>
        <v>04</v>
      </c>
      <c r="H17" s="241">
        <f>IF(ISNUMBER(IF(D_I="SI",Datos!L17,Datos!L17+Datos!AF17)),IF(D_I="SI",Datos!L17,Datos!L17+Datos!AF17)," - ")</f>
        <v>1270</v>
      </c>
      <c r="I17" s="1400" t="str">
        <f>IF(ISNUMBER(Datos!AS17/Datos!BM17),Datos!AS17/Datos!BM17," - ")</f>
        <v xml:space="preserve"> - </v>
      </c>
      <c r="J17" s="1401">
        <f>IF(ISNUMBER(Datos!BY17/Datos!CN17),Datos!BY17/Datos!CN17," - ")</f>
        <v>0</v>
      </c>
      <c r="K17" s="244">
        <f t="shared" si="3"/>
        <v>8.085106382978724E-2</v>
      </c>
      <c r="L17" s="1402">
        <f>IF(ISNUMBER(NºAsuntos!I17/NºAsuntos!G17),(NºAsuntos!I17/NºAsuntos!G17)*11," - ")</f>
        <v>22.678571428571431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78</v>
      </c>
      <c r="D18" s="239">
        <f>IF(ISNUMBER(IF(D_I="SI",Datos!I18,Datos!I18+Datos!AC18)),IF(D_I="SI",Datos!I18,Datos!I18+Datos!AC18)," - ")</f>
        <v>78</v>
      </c>
      <c r="E18" s="240">
        <f>IF(ISNUMBER(IF(D_I="SI",Datos!J18,Datos!J18+Datos!AD18)),IF(D_I="SI",Datos!J18,Datos!J18+Datos!AD18)," - ")</f>
        <v>102</v>
      </c>
      <c r="F18" s="240">
        <f>IF(ISNUMBER(IF(D_I="SI",Datos!K18,Datos!K18+Datos!AE18)),IF(D_I="SI",Datos!K18,Datos!K18+Datos!AE18)," - ")</f>
        <v>89</v>
      </c>
      <c r="G18" s="1390" t="str">
        <f>IF(Datos!E18&lt;&gt;"",Datos!E18,Datos!D18)</f>
        <v>37</v>
      </c>
      <c r="H18" s="241">
        <f>IF(ISNUMBER(IF(D_I="SI",Datos!L18,Datos!L18+Datos!AF18)),IF(D_I="SI",Datos!L18,Datos!L18+Datos!AF18)," - ")</f>
        <v>91</v>
      </c>
      <c r="I18" s="1400" t="str">
        <f>IF(ISNUMBER(Datos!AS18/Datos!BM18),Datos!AS18/Datos!BM18," - ")</f>
        <v xml:space="preserve"> - </v>
      </c>
      <c r="J18" s="1401" t="str">
        <f>IF(ISNUMBER((Datos!BY18+Datos!BZ18)/Datos!CN18),(Datos!BY18+Datos!BZ18)/Datos!CN18," - ")</f>
        <v xml:space="preserve"> - </v>
      </c>
      <c r="K18" s="244">
        <f t="shared" si="3"/>
        <v>0.16666666666666666</v>
      </c>
      <c r="L18" s="1402">
        <f>IF(ISNUMBER(NºAsuntos!I18/NºAsuntos!G18),(NºAsuntos!I18/NºAsuntos!G18)*11," - ")</f>
        <v>11.247191011235955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1253</v>
      </c>
      <c r="D23" s="1407">
        <f>SUBTOTAL(9,D16:D22)</f>
        <v>1253</v>
      </c>
      <c r="E23" s="1408">
        <f>SUBTOTAL(9,E16:E22)</f>
        <v>813</v>
      </c>
      <c r="F23" s="1408">
        <f>SUBTOTAL(9,F16:F22)</f>
        <v>705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1286</v>
      </c>
      <c r="D31" s="1435">
        <f>SUBTOTAL(9,D9:D30)</f>
        <v>1286</v>
      </c>
      <c r="E31" s="1436">
        <f>SUBTOTAL(9,E9:E30)</f>
        <v>826</v>
      </c>
      <c r="F31" s="1436">
        <f>SUBTOTAL(9,F9:F30)</f>
        <v>705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KLFU7LaAI2aJ31YlGRGZhUeCgxXFQLka14kH8upKk+YRVxKOIyEApb3nc8IU083MGxEBJlZdC0/i+z0b2uf6A==" saltValue="FGCSgow7u6fz2YsFSkiS1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lhkwXL0lVzyV5l5j0A7jE7zyfZEhC6vSbHrWJP/gZW9YHhhS+Hu2pLnCAkTYy7AQmLu1sId+NMbbwlNk5rYFw==" saltValue="bHVot/w1OUkjYK+htuBY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33</v>
      </c>
      <c r="J10" s="194">
        <v>13</v>
      </c>
      <c r="K10" s="194">
        <v>0</v>
      </c>
      <c r="L10" s="194">
        <v>46</v>
      </c>
      <c r="M10" s="194">
        <v>0</v>
      </c>
      <c r="N10" s="194">
        <v>0</v>
      </c>
      <c r="O10" s="194">
        <v>0</v>
      </c>
      <c r="P10" s="194">
        <v>0</v>
      </c>
      <c r="Q10" s="194">
        <v>1</v>
      </c>
      <c r="R10" s="194">
        <v>15</v>
      </c>
      <c r="S10" s="194">
        <v>34</v>
      </c>
      <c r="T10" s="194">
        <v>5</v>
      </c>
      <c r="U10" s="194">
        <v>5</v>
      </c>
      <c r="V10" s="194">
        <v>34</v>
      </c>
      <c r="W10" s="194">
        <v>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34</v>
      </c>
      <c r="AZ10" s="139">
        <f t="shared" si="0"/>
        <v>5</v>
      </c>
      <c r="BA10" s="139">
        <f t="shared" si="0"/>
        <v>5</v>
      </c>
      <c r="BB10" s="139">
        <f t="shared" si="0"/>
        <v>34</v>
      </c>
      <c r="BC10" s="135">
        <f t="shared" si="0"/>
        <v>1</v>
      </c>
      <c r="BD10" s="136">
        <f>IF(ISNUMBER(BA10/AZ10),BA10/AZ10," - ")</f>
        <v>1</v>
      </c>
      <c r="BE10" s="137">
        <f>IF(ISNUMBER(BB10/BA10),BB10/BA10, " - ")</f>
        <v>6.8</v>
      </c>
      <c r="BF10" s="137">
        <f>IF(ISNUMBER(BC10/BA10),BC10/BA10, " - ")</f>
        <v>0.2</v>
      </c>
      <c r="BG10" s="209">
        <f>IF(ISNUMBER((AY10+AZ10)/BA10),(AY10+AZ10)/BA10," - ")</f>
        <v>7.8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3630</v>
      </c>
      <c r="J12" s="196">
        <v>735</v>
      </c>
      <c r="K12" s="196">
        <v>664</v>
      </c>
      <c r="L12" s="196">
        <v>3701</v>
      </c>
      <c r="M12" s="196">
        <v>180</v>
      </c>
      <c r="N12" s="196">
        <v>271</v>
      </c>
      <c r="O12" s="194">
        <v>352</v>
      </c>
      <c r="P12" s="196">
        <v>156</v>
      </c>
      <c r="Q12" s="196">
        <v>95</v>
      </c>
      <c r="R12" s="196">
        <v>6249</v>
      </c>
      <c r="S12" s="196">
        <v>3134</v>
      </c>
      <c r="T12" s="196">
        <v>605</v>
      </c>
      <c r="U12" s="196">
        <v>605</v>
      </c>
      <c r="V12" s="196">
        <v>3134</v>
      </c>
      <c r="W12" s="196">
        <v>121</v>
      </c>
      <c r="X12" s="202">
        <v>226</v>
      </c>
      <c r="Y12" s="204">
        <v>44</v>
      </c>
      <c r="Z12" s="194">
        <v>56</v>
      </c>
      <c r="AA12" s="194">
        <v>55</v>
      </c>
      <c r="AB12" s="194">
        <v>45</v>
      </c>
      <c r="AC12" s="196">
        <v>0</v>
      </c>
      <c r="AD12" s="196">
        <v>0</v>
      </c>
      <c r="AE12" s="196">
        <v>0</v>
      </c>
      <c r="AF12" s="202">
        <v>0</v>
      </c>
      <c r="AG12" s="215">
        <v>81</v>
      </c>
      <c r="AH12" s="196">
        <v>53</v>
      </c>
      <c r="AI12" s="196">
        <v>76</v>
      </c>
      <c r="AJ12" s="216">
        <v>58</v>
      </c>
      <c r="AK12" s="195">
        <v>0</v>
      </c>
      <c r="AL12" s="196">
        <v>0</v>
      </c>
      <c r="AM12" s="196">
        <v>0</v>
      </c>
      <c r="AN12" s="202">
        <v>0</v>
      </c>
      <c r="AO12" s="283">
        <v>4</v>
      </c>
      <c r="AP12" s="168">
        <v>4</v>
      </c>
      <c r="AQ12" s="168">
        <v>4</v>
      </c>
      <c r="AR12" s="167">
        <v>4</v>
      </c>
      <c r="AS12" s="381" t="s">
        <v>1075</v>
      </c>
      <c r="AT12" s="216"/>
      <c r="AU12" s="215"/>
      <c r="AV12" s="216"/>
      <c r="AW12" s="215"/>
      <c r="AX12" s="216"/>
      <c r="AY12" s="136">
        <f t="shared" si="1"/>
        <v>3215</v>
      </c>
      <c r="AZ12" s="137">
        <f t="shared" si="1"/>
        <v>658</v>
      </c>
      <c r="BA12" s="137">
        <f t="shared" si="1"/>
        <v>681</v>
      </c>
      <c r="BB12" s="137">
        <f t="shared" si="1"/>
        <v>3192</v>
      </c>
      <c r="BC12" s="135">
        <f>IF(ISNUMBER(X12),X12," - ")</f>
        <v>226</v>
      </c>
      <c r="BD12" s="136">
        <f t="shared" si="2"/>
        <v>1.0349544072948329</v>
      </c>
      <c r="BE12" s="137">
        <f t="shared" si="3"/>
        <v>4.6872246696035242</v>
      </c>
      <c r="BF12" s="137">
        <f t="shared" si="4"/>
        <v>0.33186490455212925</v>
      </c>
      <c r="BG12" s="209">
        <f t="shared" si="5"/>
        <v>5.6872246696035242</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3663</v>
      </c>
      <c r="J14" s="197">
        <f t="shared" si="7"/>
        <v>748</v>
      </c>
      <c r="K14" s="197">
        <f t="shared" si="7"/>
        <v>664</v>
      </c>
      <c r="L14" s="197">
        <f t="shared" si="7"/>
        <v>3747</v>
      </c>
      <c r="M14" s="197">
        <f t="shared" si="7"/>
        <v>180</v>
      </c>
      <c r="N14" s="197">
        <f t="shared" si="7"/>
        <v>271</v>
      </c>
      <c r="O14" s="197">
        <f t="shared" si="7"/>
        <v>352</v>
      </c>
      <c r="P14" s="197">
        <f t="shared" si="7"/>
        <v>156</v>
      </c>
      <c r="Q14" s="197">
        <f t="shared" si="7"/>
        <v>96</v>
      </c>
      <c r="R14" s="197">
        <f t="shared" si="7"/>
        <v>6264</v>
      </c>
      <c r="S14" s="197">
        <f t="shared" si="7"/>
        <v>3168</v>
      </c>
      <c r="T14" s="197">
        <f t="shared" si="7"/>
        <v>610</v>
      </c>
      <c r="U14" s="197">
        <f t="shared" si="7"/>
        <v>610</v>
      </c>
      <c r="V14" s="197">
        <f t="shared" si="7"/>
        <v>3168</v>
      </c>
      <c r="W14" s="197">
        <f t="shared" si="7"/>
        <v>122</v>
      </c>
      <c r="X14" s="197">
        <f t="shared" si="7"/>
        <v>227</v>
      </c>
      <c r="Y14" s="197">
        <f t="shared" si="7"/>
        <v>44</v>
      </c>
      <c r="Z14" s="197">
        <f t="shared" si="7"/>
        <v>56</v>
      </c>
      <c r="AA14" s="197">
        <f t="shared" si="7"/>
        <v>55</v>
      </c>
      <c r="AB14" s="197">
        <f t="shared" si="7"/>
        <v>45</v>
      </c>
      <c r="AC14" s="197">
        <f t="shared" si="7"/>
        <v>0</v>
      </c>
      <c r="AD14" s="197">
        <f t="shared" si="7"/>
        <v>0</v>
      </c>
      <c r="AE14" s="197">
        <f t="shared" si="7"/>
        <v>0</v>
      </c>
      <c r="AF14" s="197">
        <f>SUBTOTAL(9,AF9:AF13)</f>
        <v>0</v>
      </c>
      <c r="AG14" s="197">
        <f t="shared" ref="AG14:AT14" si="8">SUBTOTAL(9,AG8:AG13)</f>
        <v>81</v>
      </c>
      <c r="AH14" s="197">
        <f t="shared" si="8"/>
        <v>53</v>
      </c>
      <c r="AI14" s="197">
        <f t="shared" si="8"/>
        <v>76</v>
      </c>
      <c r="AJ14" s="197">
        <f t="shared" si="8"/>
        <v>58</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3249</v>
      </c>
      <c r="AZ14" s="197">
        <f>SUBTOTAL(9,AZ8:AZ13)</f>
        <v>663</v>
      </c>
      <c r="BA14" s="197">
        <f>SUBTOTAL(9,BA8:BA13)</f>
        <v>686</v>
      </c>
      <c r="BB14" s="197">
        <f>SUBTOTAL(9,BB8:BB13)</f>
        <v>3226</v>
      </c>
      <c r="BC14" s="197">
        <f>SUBTOTAL(9,BC8:BC13)</f>
        <v>227</v>
      </c>
      <c r="BD14" s="219">
        <f>IF(ISNUMBER(BA14/AZ14),BA14/AZ14," - ")</f>
        <v>1.0346907993966818</v>
      </c>
      <c r="BE14" s="220">
        <f>IF(ISNUMBER(BB14/BA14),BB14/BA14, " - ")</f>
        <v>4.7026239067055391</v>
      </c>
      <c r="BF14" s="220">
        <f>IF(ISNUMBER(BC14/BA14),BC14/BA14, " - ")</f>
        <v>0.33090379008746357</v>
      </c>
      <c r="BG14" s="221">
        <f>IF(ISNUMBER((AY14+AZ14)/BA14),(AY14+AZ14)/BA14," - ")</f>
        <v>5.7026239067055391</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1175</v>
      </c>
      <c r="J17" s="196">
        <v>711</v>
      </c>
      <c r="K17" s="196">
        <v>616</v>
      </c>
      <c r="L17" s="196">
        <v>1270</v>
      </c>
      <c r="M17" s="196">
        <v>87</v>
      </c>
      <c r="N17" s="196">
        <v>353</v>
      </c>
      <c r="O17" s="194">
        <v>0</v>
      </c>
      <c r="P17" s="196">
        <v>20</v>
      </c>
      <c r="Q17" s="196">
        <v>24</v>
      </c>
      <c r="R17" s="196">
        <v>153</v>
      </c>
      <c r="S17" s="196">
        <v>1168</v>
      </c>
      <c r="T17" s="196">
        <v>506</v>
      </c>
      <c r="U17" s="196">
        <v>480</v>
      </c>
      <c r="V17" s="196">
        <v>1065</v>
      </c>
      <c r="W17" s="196">
        <v>110</v>
      </c>
      <c r="X17" s="202">
        <v>219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1168</v>
      </c>
      <c r="AZ17" s="137">
        <f t="shared" si="10"/>
        <v>506</v>
      </c>
      <c r="BA17" s="137">
        <f t="shared" si="10"/>
        <v>480</v>
      </c>
      <c r="BB17" s="137">
        <f t="shared" si="10"/>
        <v>1065</v>
      </c>
      <c r="BC17" s="135">
        <f>IF(ISNUMBER(W17),W17," - ")</f>
        <v>110</v>
      </c>
      <c r="BD17" s="136">
        <f t="shared" ref="BD17:BD22" si="12">IF(ISNUMBER(BA17/AZ17),BA17/AZ17," - ")</f>
        <v>0.9486166007905138</v>
      </c>
      <c r="BE17" s="137">
        <f t="shared" ref="BE17:BE22" si="13">IF(ISNUMBER(BB17/BA17),BB17/BA17, " - ")</f>
        <v>2.21875</v>
      </c>
      <c r="BF17" s="137">
        <f t="shared" ref="BF17:BF22" si="14">IF(ISNUMBER(BC17/BA17),BC17/BA17, " - ")</f>
        <v>0.22916666666666666</v>
      </c>
      <c r="BG17" s="209">
        <f t="shared" si="11"/>
        <v>3.4874999999999998</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78</v>
      </c>
      <c r="J18" s="196">
        <v>102</v>
      </c>
      <c r="K18" s="196">
        <v>89</v>
      </c>
      <c r="L18" s="196">
        <v>91</v>
      </c>
      <c r="M18" s="196">
        <v>14</v>
      </c>
      <c r="N18" s="196">
        <v>53</v>
      </c>
      <c r="O18" s="196">
        <v>0</v>
      </c>
      <c r="P18" s="196">
        <v>1</v>
      </c>
      <c r="Q18" s="196">
        <v>1</v>
      </c>
      <c r="R18" s="196">
        <v>1</v>
      </c>
      <c r="S18" s="196">
        <v>92</v>
      </c>
      <c r="T18" s="196">
        <v>108</v>
      </c>
      <c r="U18" s="196">
        <v>112</v>
      </c>
      <c r="V18" s="196">
        <v>88</v>
      </c>
      <c r="W18" s="196">
        <v>19</v>
      </c>
      <c r="X18" s="202">
        <v>79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92</v>
      </c>
      <c r="AZ18" s="139">
        <f t="shared" si="15"/>
        <v>108</v>
      </c>
      <c r="BA18" s="139">
        <f t="shared" si="15"/>
        <v>112</v>
      </c>
      <c r="BB18" s="139">
        <f t="shared" si="15"/>
        <v>88</v>
      </c>
      <c r="BC18" s="135">
        <f>IF(ISNUMBER(W18),W18," - ")</f>
        <v>19</v>
      </c>
      <c r="BD18" s="136">
        <f>IF(ISNUMBER(BA18/AZ18),BA18/AZ18," - ")</f>
        <v>1.037037037037037</v>
      </c>
      <c r="BE18" s="137">
        <f>IF(ISNUMBER(BB18/BA18),BB18/BA18, " - ")</f>
        <v>0.7857142857142857</v>
      </c>
      <c r="BF18" s="137">
        <f>IF(ISNUMBER(BC18/BA18),BC18/BA18, " - ")</f>
        <v>0.16964285714285715</v>
      </c>
      <c r="BG18" s="209">
        <f>IF(ISNUMBER((AY18+AZ18)/BA18),(AY18+AZ18)/BA18," - ")</f>
        <v>1.7857142857142858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1253</v>
      </c>
      <c r="J23" s="197">
        <f t="shared" si="21"/>
        <v>813</v>
      </c>
      <c r="K23" s="197">
        <f t="shared" si="21"/>
        <v>705</v>
      </c>
      <c r="L23" s="197">
        <f t="shared" si="21"/>
        <v>1361</v>
      </c>
      <c r="M23" s="197">
        <f t="shared" si="21"/>
        <v>101</v>
      </c>
      <c r="N23" s="197">
        <f t="shared" si="21"/>
        <v>406</v>
      </c>
      <c r="O23" s="197">
        <f t="shared" si="21"/>
        <v>0</v>
      </c>
      <c r="P23" s="197">
        <f t="shared" si="21"/>
        <v>21</v>
      </c>
      <c r="Q23" s="197">
        <f t="shared" si="21"/>
        <v>25</v>
      </c>
      <c r="R23" s="197">
        <f t="shared" si="21"/>
        <v>154</v>
      </c>
      <c r="S23" s="197">
        <f t="shared" si="21"/>
        <v>1260</v>
      </c>
      <c r="T23" s="197">
        <f t="shared" si="21"/>
        <v>614</v>
      </c>
      <c r="U23" s="197">
        <f t="shared" si="21"/>
        <v>592</v>
      </c>
      <c r="V23" s="197">
        <f t="shared" si="21"/>
        <v>1153</v>
      </c>
      <c r="W23" s="197">
        <f t="shared" si="21"/>
        <v>129</v>
      </c>
      <c r="X23" s="197">
        <f t="shared" si="21"/>
        <v>298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1260</v>
      </c>
      <c r="AZ23" s="197">
        <f>SUBTOTAL(9,AZ15:AZ22)</f>
        <v>614</v>
      </c>
      <c r="BA23" s="197">
        <f>SUBTOTAL(9,BA15:BA22)</f>
        <v>592</v>
      </c>
      <c r="BB23" s="197">
        <f>SUBTOTAL(9,BB15:BB22)</f>
        <v>1153</v>
      </c>
      <c r="BC23" s="197">
        <f>SUBTOTAL(9,BC15:BC22)</f>
        <v>129</v>
      </c>
      <c r="BD23" s="219">
        <f>IF(ISNUMBER(BA23/AZ23),BA23/AZ23," - ")</f>
        <v>0.96416938110749184</v>
      </c>
      <c r="BE23" s="220">
        <f>IF(ISNUMBER(BB23/BA23),BB23/BA23, " - ")</f>
        <v>1.9476351351351351</v>
      </c>
      <c r="BF23" s="220">
        <f>IF(ISNUMBER(BC23/BA23),BC23/BA23, " - ")</f>
        <v>0.2179054054054054</v>
      </c>
      <c r="BG23" s="221">
        <f>IF(ISNUMBER((AY23+AZ23)/BA23),(AY23+AZ23)/BA23," - ")</f>
        <v>3.1655405405405403</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4916</v>
      </c>
      <c r="J31" s="144">
        <f t="shared" si="36"/>
        <v>1561</v>
      </c>
      <c r="K31" s="144">
        <f t="shared" si="36"/>
        <v>1369</v>
      </c>
      <c r="L31" s="144">
        <f t="shared" si="36"/>
        <v>5108</v>
      </c>
      <c r="M31" s="144">
        <f t="shared" si="36"/>
        <v>281</v>
      </c>
      <c r="N31" s="144">
        <f t="shared" si="36"/>
        <v>677</v>
      </c>
      <c r="O31" s="144">
        <f t="shared" si="36"/>
        <v>352</v>
      </c>
      <c r="P31" s="144">
        <f t="shared" si="36"/>
        <v>177</v>
      </c>
      <c r="Q31" s="144">
        <f t="shared" si="36"/>
        <v>121</v>
      </c>
      <c r="R31" s="144">
        <f t="shared" si="36"/>
        <v>6418</v>
      </c>
      <c r="S31" s="144">
        <f t="shared" si="36"/>
        <v>4428</v>
      </c>
      <c r="T31" s="144">
        <f t="shared" si="36"/>
        <v>1224</v>
      </c>
      <c r="U31" s="144">
        <f t="shared" si="36"/>
        <v>1202</v>
      </c>
      <c r="V31" s="144">
        <f t="shared" si="36"/>
        <v>4321</v>
      </c>
      <c r="W31" s="144">
        <f t="shared" si="36"/>
        <v>251</v>
      </c>
      <c r="X31" s="144">
        <f t="shared" si="36"/>
        <v>525</v>
      </c>
      <c r="Y31" s="144">
        <f t="shared" si="36"/>
        <v>44</v>
      </c>
      <c r="Z31" s="144">
        <f t="shared" si="36"/>
        <v>56</v>
      </c>
      <c r="AA31" s="144">
        <f t="shared" si="36"/>
        <v>55</v>
      </c>
      <c r="AB31" s="144">
        <f t="shared" si="36"/>
        <v>45</v>
      </c>
      <c r="AC31" s="144">
        <f t="shared" si="36"/>
        <v>0</v>
      </c>
      <c r="AD31" s="144">
        <f t="shared" si="36"/>
        <v>0</v>
      </c>
      <c r="AE31" s="144">
        <f t="shared" si="36"/>
        <v>0</v>
      </c>
      <c r="AF31" s="144">
        <f t="shared" si="36"/>
        <v>0</v>
      </c>
      <c r="AG31" s="144">
        <f t="shared" si="36"/>
        <v>81</v>
      </c>
      <c r="AH31" s="144">
        <f t="shared" si="36"/>
        <v>53</v>
      </c>
      <c r="AI31" s="144">
        <f t="shared" si="36"/>
        <v>76</v>
      </c>
      <c r="AJ31" s="144">
        <f t="shared" si="36"/>
        <v>58</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4509</v>
      </c>
      <c r="AZ31" s="144">
        <f>SUBTOTAL(9,AZ9:AZ30)</f>
        <v>1277</v>
      </c>
      <c r="BA31" s="144">
        <f>SUBTOTAL(9,BA9:BA30)</f>
        <v>1278</v>
      </c>
      <c r="BB31" s="144">
        <f>SUBTOTAL(9,BB9:BB30)</f>
        <v>4379</v>
      </c>
      <c r="BC31" s="145">
        <f>SUBTOTAL(9,BC9:BC30)</f>
        <v>356</v>
      </c>
      <c r="BD31" s="227">
        <f>IF(ISNUMBER(BA31/AZ31),BA31/AZ31," - ")</f>
        <v>1.0007830853563038</v>
      </c>
      <c r="BE31" s="224">
        <f>IF(ISNUMBER(BB31/BA31),BB31/BA31, " - ")</f>
        <v>3.4264475743348983</v>
      </c>
      <c r="BF31" s="224">
        <f>IF(ISNUMBER(BC31/BA31),BC31/BA31, " - ")</f>
        <v>0.27856025039123633</v>
      </c>
      <c r="BG31" s="145">
        <f>IF(ISNUMBER((AY31+AZ31)/BA31),(AY31+AZ31)/BA31," - ")</f>
        <v>4.5273865414710484</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LLyKwEKB9UGKDxpAm6XF9qGt/REq/HdAg+wnwAFkhfeU5Xank6wLLIM0SxFWnA7UeZP5g3Gyp+Dcr+kEYPiSg==" saltValue="wvbrKG4lNeNUzmZx5QdUp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q1I2KZHAKg5BVHtT92i559rs63QjMv0oDJGWh4Fwt/qnFV0T8s8xVC18I9Bfo7ORkThJcGXIPdm8vlAvHBIeg==" saltValue="oujd3i3zRUDLePC0scyxS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NOVELDA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33</v>
      </c>
      <c r="G10" s="543">
        <f>IF(ISNUMBER(Datos!I10),Datos!I10," - ")</f>
        <v>33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1</v>
      </c>
      <c r="AD10" s="549"/>
      <c r="AE10" s="563"/>
      <c r="AF10" s="551">
        <f>IF(ISNUMBER(Datos!L10),Datos!L10,"-")</f>
        <v>46</v>
      </c>
      <c r="AG10" s="549"/>
      <c r="AH10" s="549"/>
      <c r="AI10" s="549"/>
      <c r="AJ10" s="549"/>
      <c r="AK10" s="549"/>
      <c r="AL10" s="550"/>
      <c r="AM10" s="766">
        <f>IF(ISNUMBER(Datos!R10),Datos!R10," - ")</f>
        <v>15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56</v>
      </c>
      <c r="O12" s="549"/>
      <c r="P12" s="549"/>
      <c r="Q12" s="547">
        <f>IF(ISNUMBER(Datos!P12),Datos!P12,0)</f>
        <v>156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45</v>
      </c>
      <c r="AI12" s="549" t="str">
        <f>IF(ISNUMBER(Datos!CD12),Datos!CD12,"-")</f>
        <v>-</v>
      </c>
      <c r="AJ12" s="549" t="str">
        <f>IF(ISNUMBER(Datos!EN12),Datos!EN12," - ")</f>
        <v xml:space="preserve"> - </v>
      </c>
      <c r="AK12" s="549"/>
      <c r="AL12" s="550"/>
      <c r="AM12" s="766">
        <f>IF(ISNUMBER(Datos!R12),Datos!R12," - ")</f>
        <v>6249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180</v>
      </c>
      <c r="BD12" s="693">
        <f>IF(ISNUMBER(Datos!N12),Datos!N12," - ")</f>
        <v>271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0.90897597977243993</v>
      </c>
      <c r="BH12" s="764">
        <f>IF(ISNUMBER(((IF(J_V="SI",Datos!L12/Datos!K12,(Datos!L12+Datos!AB12)/(Datos!K12+Datos!AA12)))*11)/factor_trimestre),((IF(J_V="SI",Datos!L12/Datos!K12,(Datos!L12+Datos!AB12)/(Datos!K12+Datos!AA12)))*11)/factor_trimestre," - ")</f>
        <v>10.420027816411682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9.8577892695539751E-3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33</v>
      </c>
      <c r="G14" s="1197">
        <f t="shared" si="1"/>
        <v>33</v>
      </c>
      <c r="H14" s="1198">
        <f t="shared" si="1"/>
        <v>0</v>
      </c>
      <c r="I14" s="1197">
        <f t="shared" si="1"/>
        <v>0</v>
      </c>
      <c r="J14" s="1164">
        <f t="shared" si="1"/>
        <v>0</v>
      </c>
      <c r="K14" s="1164">
        <f t="shared" si="1"/>
        <v>0</v>
      </c>
      <c r="L14" s="1198">
        <f t="shared" si="1"/>
        <v>0</v>
      </c>
      <c r="M14" s="1198">
        <f t="shared" si="1"/>
        <v>0</v>
      </c>
      <c r="N14" s="1198">
        <f t="shared" si="1"/>
        <v>56</v>
      </c>
      <c r="O14" s="1199">
        <f t="shared" si="1"/>
        <v>0</v>
      </c>
      <c r="P14" s="1199">
        <f t="shared" si="1"/>
        <v>0</v>
      </c>
      <c r="Q14" s="1198">
        <f t="shared" si="1"/>
        <v>156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96</v>
      </c>
      <c r="AD14" s="1198">
        <f t="shared" si="2"/>
        <v>0</v>
      </c>
      <c r="AE14" s="1198">
        <f t="shared" si="2"/>
        <v>0</v>
      </c>
      <c r="AF14" s="1198">
        <f t="shared" si="2"/>
        <v>46</v>
      </c>
      <c r="AG14" s="1198">
        <f t="shared" si="2"/>
        <v>0</v>
      </c>
      <c r="AH14" s="1198">
        <f t="shared" si="2"/>
        <v>45</v>
      </c>
      <c r="AI14" s="1198">
        <f t="shared" si="2"/>
        <v>0</v>
      </c>
      <c r="AJ14" s="1198">
        <f t="shared" si="2"/>
        <v>0</v>
      </c>
      <c r="AK14" s="1198">
        <f t="shared" si="2"/>
        <v>0</v>
      </c>
      <c r="AL14" s="1198">
        <f t="shared" si="2"/>
        <v>0</v>
      </c>
      <c r="AM14" s="1198">
        <f t="shared" si="2"/>
        <v>6264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180</v>
      </c>
      <c r="BD14" s="1198">
        <f t="shared" si="2"/>
        <v>271</v>
      </c>
      <c r="BE14" s="1198">
        <f t="shared" si="2"/>
        <v>0</v>
      </c>
      <c r="BF14" s="1198">
        <f t="shared" si="2"/>
        <v>0</v>
      </c>
      <c r="BG14" s="1198">
        <f>IF(ISNUMBER(Datos!K14/Datos!J14),Datos!K14/Datos!J14," - ")</f>
        <v>0.88770053475935828</v>
      </c>
      <c r="BH14" s="1202">
        <f>IF(ISNUMBER(((Datos!L14/Datos!K14)*11)/factor_trimestre),((Datos!L14/Datos!K14)*11)/factor_trimestre," - ")</f>
        <v>11.286144578313253</v>
      </c>
      <c r="BI14" s="1198">
        <f>IF(ISNUMBER('Resol  Asuntos'!D14/NºAsuntos!G14),'Resol  Asuntos'!D14/NºAsuntos!G14," - ")</f>
        <v>0.25034770514603616</v>
      </c>
      <c r="BJ14" s="1198" t="str">
        <f>IF(ISNUMBER(Datos!CI14/Datos!CJ14),Datos!CI14/Datos!CJ14," - ")</f>
        <v xml:space="preserve"> - </v>
      </c>
      <c r="BK14" s="1198">
        <f>SUBTOTAL(9,BK8:BK13)</f>
        <v>0</v>
      </c>
      <c r="BL14" s="1198">
        <f>IF(ISNUMBER((I14-AB14+L14)/(F14)),(I14-AB14+L14)/(F14)," - ")</f>
        <v>0</v>
      </c>
      <c r="BM14" s="1203">
        <f>SUBTOTAL(9,BM9:BM13)</f>
        <v>-5.2642210730446025E-2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1175</v>
      </c>
      <c r="G17" s="743">
        <f>IF(ISNUMBER(IF(D_I="SI",Datos!I17,Datos!I17+Datos!AC17)),IF(D_I="SI",Datos!I17,Datos!I17+Datos!AC17)," - ")</f>
        <v>1175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616</v>
      </c>
      <c r="AC17" s="240">
        <f>IF(ISNUMBER(Datos!Q17),Datos!Q17," - ")</f>
        <v>24</v>
      </c>
      <c r="AD17" s="374"/>
      <c r="AE17" s="562"/>
      <c r="AF17" s="741">
        <f>IF(ISNUMBER(IF(D_I="SI",Datos!L17,Datos!L17+Datos!AF17)),IF(D_I="SI",Datos!L17,Datos!L17+Datos!AF17)," - ")</f>
        <v>1270</v>
      </c>
      <c r="AG17" s="374"/>
      <c r="AH17" s="374"/>
      <c r="AI17" s="374"/>
      <c r="AJ17" s="549"/>
      <c r="AK17" s="374"/>
      <c r="AL17" s="545"/>
      <c r="AM17" s="375">
        <f>IF(ISNUMBER(Datos!R17),Datos!R17," - ")</f>
        <v>153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87</v>
      </c>
      <c r="BD17" s="243">
        <f>IF(ISNUMBER(Datos!N17),Datos!N17," - ")</f>
        <v>353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0.86638537271448668</v>
      </c>
      <c r="BH17" s="764">
        <f>IF(ISNUMBER(((IF(D_I="SI",Datos!L17/Datos!K17,(Datos!L17+Datos!AF17)/(Datos!K17+Datos!AE17)))*11)/factor_trimestre),((IF(D_I="SI",Datos!L17/Datos!K17,(Datos!L17+Datos!AF17)/(Datos!K17+Datos!AE17)))*11)/factor_trimestre," - ")</f>
        <v>4.1233766233766236</v>
      </c>
      <c r="BI17" s="266">
        <f>IF(ISNUMBER('Resol  Asuntos'!D17/NºAsuntos!G17),'Resol  Asuntos'!D17/NºAsuntos!G17," - ")</f>
        <v>0.14123376623376624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89</v>
      </c>
      <c r="AC18" s="547">
        <f>IF(ISNUMBER(Datos!Q18),Datos!Q18," - ")</f>
        <v>1</v>
      </c>
      <c r="AD18" s="549"/>
      <c r="AE18" s="562"/>
      <c r="AF18" s="551">
        <f>IF(ISNUMBER(Datos!L18),Datos!L18,"-")</f>
        <v>91</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53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0.87254901960784315</v>
      </c>
      <c r="BH18" s="764">
        <f>IF(ISNUMBER(((IF(D_I="SI",Datos!L18/Datos!K18,(Datos!L18+Datos!AF18)/(Datos!K18+Datos!AE18)))*11)/factor_trimestre),((IF(D_I="SI",Datos!L18/Datos!K18,(Datos!L18+Datos!AF18)/(Datos!K18+Datos!AE18)))*11)/factor_trimestre," - ")</f>
        <v>2.0449438202247192</v>
      </c>
      <c r="BI18" s="763">
        <f>IF(ISNUMBER('Resol  Asuntos'!D18/NºAsuntos!G18),'Resol  Asuntos'!D18/NºAsuntos!G18," - ")</f>
        <v>0.15730337078651685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1175</v>
      </c>
      <c r="G23" s="1197">
        <f>SUBTOTAL(9,G16:G22)</f>
        <v>1253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705</v>
      </c>
      <c r="AC23" s="1198">
        <f t="shared" si="5"/>
        <v>25</v>
      </c>
      <c r="AD23" s="1198">
        <f t="shared" si="5"/>
        <v>0</v>
      </c>
      <c r="AE23" s="1198">
        <f t="shared" si="5"/>
        <v>0</v>
      </c>
      <c r="AF23" s="1198">
        <f t="shared" si="5"/>
        <v>1361</v>
      </c>
      <c r="AG23" s="1198">
        <f t="shared" si="5"/>
        <v>0</v>
      </c>
      <c r="AH23" s="1198">
        <f t="shared" si="5"/>
        <v>0</v>
      </c>
      <c r="AI23" s="1198">
        <f t="shared" si="5"/>
        <v>0</v>
      </c>
      <c r="AJ23" s="1198">
        <f t="shared" si="5"/>
        <v>0</v>
      </c>
      <c r="AK23" s="1198">
        <f t="shared" si="5"/>
        <v>0</v>
      </c>
      <c r="AL23" s="1198">
        <f t="shared" si="5"/>
        <v>0</v>
      </c>
      <c r="AM23" s="1198">
        <f t="shared" si="5"/>
        <v>154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101</v>
      </c>
      <c r="BD23" s="1198">
        <f t="shared" si="5"/>
        <v>406</v>
      </c>
      <c r="BE23" s="1198">
        <f t="shared" si="5"/>
        <v>0</v>
      </c>
      <c r="BF23" s="1198">
        <f t="shared" si="5"/>
        <v>0</v>
      </c>
      <c r="BG23" s="1198">
        <f>IF(ISNUMBER(Datos!K23/Datos!J23),Datos!K23/Datos!J23," - ")</f>
        <v>0.86715867158671589</v>
      </c>
      <c r="BH23" s="1202">
        <f>IF(ISNUMBER(((Datos!L23/Datos!K23)*11)/factor_trimestre),((Datos!L23/Datos!K23)*11)/factor_trimestre," - ")</f>
        <v>3.860992907801418</v>
      </c>
      <c r="BI23" s="1198">
        <f>SUBTOTAL(9,BI16:BI22)</f>
        <v>0.29853713702028306</v>
      </c>
      <c r="BJ23" s="1198">
        <f>SUBTOTAL(9,BJ16:BJ22)</f>
        <v>0</v>
      </c>
      <c r="BK23" s="1198">
        <f>SUBTOTAL(9,BK16:BK22)</f>
        <v>0</v>
      </c>
      <c r="BL23" s="1198">
        <f>IF(ISNUMBER((I23-AB23+L23)/(F23)),(I23-AB23+L23)/(F23)," - ")</f>
        <v>-0.6</v>
      </c>
      <c r="BM23" s="1205">
        <f>IF(ISNUMBER((Datos!P23-Datos!Q23)/(Datos!R23-Datos!P23+Datos!Q23)),(Datos!P23-Datos!Q23)/(Datos!R23-Datos!P23+Datos!Q23)," - ")</f>
        <v>-2.5316455696202531E-2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1208</v>
      </c>
      <c r="G31" s="1117">
        <f t="shared" si="18"/>
        <v>1286</v>
      </c>
      <c r="H31" s="1119">
        <f t="shared" si="18"/>
        <v>0</v>
      </c>
      <c r="I31" s="1117">
        <f t="shared" si="18"/>
        <v>0</v>
      </c>
      <c r="J31" s="1119">
        <f t="shared" si="18"/>
        <v>0</v>
      </c>
      <c r="K31" s="1119">
        <f t="shared" si="18"/>
        <v>0</v>
      </c>
      <c r="L31" s="1180">
        <f t="shared" si="18"/>
        <v>0</v>
      </c>
      <c r="M31" s="1180">
        <f t="shared" si="18"/>
        <v>0</v>
      </c>
      <c r="N31" s="1180">
        <f t="shared" si="18"/>
        <v>56</v>
      </c>
      <c r="O31" s="1180">
        <f t="shared" si="18"/>
        <v>0</v>
      </c>
      <c r="P31" s="1180">
        <f t="shared" si="18"/>
        <v>0</v>
      </c>
      <c r="Q31" s="1119">
        <f t="shared" si="18"/>
        <v>177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705</v>
      </c>
      <c r="AC31" s="1118">
        <f t="shared" si="19"/>
        <v>121</v>
      </c>
      <c r="AD31" s="1118">
        <f t="shared" si="19"/>
        <v>0</v>
      </c>
      <c r="AE31" s="1118">
        <f t="shared" si="19"/>
        <v>0</v>
      </c>
      <c r="AF31" s="1125">
        <f t="shared" si="19"/>
        <v>1407</v>
      </c>
      <c r="AG31" s="1125">
        <f t="shared" si="19"/>
        <v>0</v>
      </c>
      <c r="AH31" s="1125">
        <f t="shared" si="19"/>
        <v>45</v>
      </c>
      <c r="AI31" s="1125">
        <f t="shared" si="19"/>
        <v>0</v>
      </c>
      <c r="AJ31" s="1118">
        <f t="shared" si="19"/>
        <v>0</v>
      </c>
      <c r="AK31" s="1125">
        <f t="shared" si="19"/>
        <v>0</v>
      </c>
      <c r="AL31" s="1125">
        <f t="shared" si="19"/>
        <v>0</v>
      </c>
      <c r="AM31" s="1125">
        <f t="shared" si="19"/>
        <v>6418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281</v>
      </c>
      <c r="BD31" s="1117">
        <f t="shared" si="19"/>
        <v>677</v>
      </c>
      <c r="BE31" s="1117">
        <f t="shared" si="19"/>
        <v>0</v>
      </c>
      <c r="BF31" s="1127">
        <f t="shared" si="19"/>
        <v>0</v>
      </c>
      <c r="BG31" s="1223">
        <f>IF(ISNUMBER(Datos!K31/Datos!J31),Datos!K31/Datos!J31," - ")</f>
        <v>0.87700192184497117</v>
      </c>
      <c r="BH31" s="1223">
        <f>IF(ISNUMBER(((Datos!L31/Datos!K31)*11)/factor_trimestre),((Datos!L31/Datos!K31)*11)/factor_trimestre," - ")</f>
        <v>7.4623813002191381</v>
      </c>
      <c r="BI31" s="1103">
        <f>IF(ISNUMBER(Datos!J31/Datos!I31),Datos!J31/Datos!I31," - ")</f>
        <v>0.31753458096013021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-0.58360927152317876</v>
      </c>
      <c r="BM31" s="1188">
        <f>IF(ISNUMBER((Datos!P31-Datos!Q31+R31)/(Datos!R31-Datos!P31+Datos!Q31-R31)),(Datos!P31-Datos!Q31+R31)/(Datos!R31-Datos!P31+Datos!Q31-R31)," - ")</f>
        <v>8.802263439170073E-3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367.42857142857144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598.4288317474909</v>
      </c>
      <c r="G33" s="674">
        <f>IF(ISNUMBER(STDEV(G8:G30)),STDEV(G8:G30),"-")</f>
        <v>579.34873123271132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316.32992120192972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78.636142181206068</v>
      </c>
      <c r="BD33" s="673"/>
      <c r="BE33" s="673">
        <f>IF(ISNUMBER(STDEV(BE8:BE30)),STDEV(BE8:BE30),"-")</f>
        <v>0</v>
      </c>
      <c r="BF33" s="678">
        <f>IF(ISNUMBER(STDEV(BF8:BF30)),STDEV(BF8:BF30),"-")</f>
        <v>0</v>
      </c>
      <c r="BG33" s="1052">
        <f>IF(ISNUMBER(STDEV(BG8:BG30)),STDEV(BG8:BG30),"-")</f>
        <v>0.35984695222317958</v>
      </c>
      <c r="BH33" s="1058">
        <f>IF(ISNUMBER(STDEV(BH8:BH30)),STDEV(BH8:BH30),"-")</f>
        <v>4.2016997830944822</v>
      </c>
      <c r="BI33" s="273">
        <f>IF(ISNUMBER(STDEV(BI8:BI30)),STDEV(BI8:BI30),"-")</f>
        <v>7.5185814564969408E-2</v>
      </c>
      <c r="BJ33" s="244" t="str">
        <f>IF(ISNUMBER(BL33/BM33),BL33/BM33," - ")</f>
        <v xml:space="preserve"> - </v>
      </c>
      <c r="BK33" s="709"/>
      <c r="BL33" s="681">
        <f>IF(ISNUMBER(STDEV(BL8:BL30)),STDEV(BL8:BL30),"-")</f>
        <v>0.42426406871192851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UdcjtZk8ZJmuIgrWUdCp+FIqWolsw/YwAc2KE2a8tc9WoCqXoW3wr096GQN3ZyMjfaet4JhDb5/jVrkCvCw6zw==" saltValue="EDSC5TqG7EWRSFasHvfHi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NOVELDA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33</v>
      </c>
      <c r="G10" s="552">
        <f>IF(ISNUMBER(Datos!I10),Datos!I10," - ")</f>
        <v>33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1</v>
      </c>
      <c r="AA10" s="551">
        <f>IF(ISNUMBER(Datos!L10),Datos!L10,"-")</f>
        <v>46</v>
      </c>
      <c r="AB10" s="549"/>
      <c r="AC10" s="549"/>
      <c r="AD10" s="563"/>
      <c r="AE10" s="563">
        <f>IF(ISNUMBER(Datos!R10),Datos!R10," - ")</f>
        <v>15</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95</v>
      </c>
      <c r="AA12" s="551" t="str">
        <f>IF(ISNUMBER(IF(J_V="SI",Datos!L12,Datos!L12+Datos!AB12)-IF(Monitorios="SI",Datos!CD12,0)),
                          IF(J_V="SI",Datos!L12,Datos!L12+Datos!AB12)-IF(Monitorios="SI",Datos!CD12,0),
                          " - ")</f>
        <v xml:space="preserve"> - </v>
      </c>
      <c r="AB12" s="549"/>
      <c r="AC12" s="549"/>
      <c r="AD12" s="563"/>
      <c r="AE12" s="563">
        <f>IF(ISNUMBER(Datos!R12),Datos!R12," - ")</f>
        <v>6249</v>
      </c>
      <c r="AF12" s="693" t="str">
        <f>IF(ISNUMBER(Datos!BV12),Datos!BV12," - ")</f>
        <v xml:space="preserve"> - </v>
      </c>
      <c r="AG12" s="552" t="str">
        <f>IF(ISNUMBER(Datos!DV12),Datos!DV12," - ")</f>
        <v xml:space="preserve"> - </v>
      </c>
      <c r="AH12" s="553"/>
      <c r="AI12" s="554"/>
      <c r="AJ12" s="552">
        <f>IF(ISNUMBER(Datos!M12),Datos!M12," - ")</f>
        <v>180</v>
      </c>
      <c r="AK12" s="693">
        <f>IF(ISNUMBER(Datos!N12),Datos!N12," - ")</f>
        <v>271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10.420027816411682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9.8577892695539751E-3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33</v>
      </c>
      <c r="G14" s="1197">
        <f>SUBTOTAL(9,G8:G13)</f>
        <v>33</v>
      </c>
      <c r="H14" s="1211"/>
      <c r="I14" s="1197">
        <f t="shared" ref="I14:N14" si="1">SUBTOTAL(9,I8:I13)</f>
        <v>0</v>
      </c>
      <c r="J14" s="1164">
        <f t="shared" si="1"/>
        <v>0</v>
      </c>
      <c r="K14" s="1211">
        <f t="shared" si="1"/>
        <v>0</v>
      </c>
      <c r="L14" s="1211">
        <f t="shared" si="1"/>
        <v>0</v>
      </c>
      <c r="M14" s="1211">
        <f t="shared" si="1"/>
        <v>0</v>
      </c>
      <c r="N14" s="1211">
        <f t="shared" si="1"/>
        <v>156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96</v>
      </c>
      <c r="AA14" s="1199">
        <f t="shared" si="3"/>
        <v>46</v>
      </c>
      <c r="AB14" s="1199">
        <f t="shared" si="3"/>
        <v>0</v>
      </c>
      <c r="AC14" s="1199">
        <f t="shared" si="3"/>
        <v>0</v>
      </c>
      <c r="AD14" s="1199">
        <f t="shared" si="3"/>
        <v>0</v>
      </c>
      <c r="AE14" s="1199">
        <f t="shared" si="3"/>
        <v>6264</v>
      </c>
      <c r="AF14" s="1211">
        <f t="shared" si="3"/>
        <v>0</v>
      </c>
      <c r="AG14" s="1211">
        <f t="shared" si="3"/>
        <v>0</v>
      </c>
      <c r="AH14" s="1211">
        <f t="shared" si="3"/>
        <v>0</v>
      </c>
      <c r="AI14" s="1211">
        <f t="shared" si="3"/>
        <v>0</v>
      </c>
      <c r="AJ14" s="1211">
        <f t="shared" si="3"/>
        <v>180</v>
      </c>
      <c r="AK14" s="1211">
        <f t="shared" si="3"/>
        <v>271</v>
      </c>
      <c r="AL14" s="1211">
        <f t="shared" si="3"/>
        <v>0</v>
      </c>
      <c r="AM14" s="1211">
        <f t="shared" si="3"/>
        <v>0</v>
      </c>
      <c r="AN14" s="1211">
        <f t="shared" si="3"/>
        <v>0</v>
      </c>
      <c r="AO14" s="1203">
        <f>IF(ISNUMBER(((NºAsuntos!I14/NºAsuntos!G14)*11)/factor_trimestre),((NºAsuntos!I14/NºAsuntos!G14)*11)/factor_trimestre," - ")</f>
        <v>10.54798331015299</v>
      </c>
      <c r="AP14" s="1213" t="str">
        <f>IF(ISNUMBER(Datos!CI14/Datos!CJ14),Datos!CI14/Datos!CJ14," - ")</f>
        <v xml:space="preserve"> - </v>
      </c>
      <c r="AQ14" s="1236">
        <f t="shared" ref="AQ14:AV14" si="4">SUBTOTAL(9,AQ9:AQ13)</f>
        <v>0</v>
      </c>
      <c r="AR14" s="1236">
        <f t="shared" si="4"/>
        <v>-5.2642210730446025E-2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1175</v>
      </c>
      <c r="G17" s="552">
        <f>IF(ISNUMBER(IF(D_I="SI",Datos!I17,Datos!I17+Datos!AC17)),IF(D_I="SI",Datos!I17,Datos!I17+Datos!AC17)," - ")</f>
        <v>1175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616</v>
      </c>
      <c r="Z17" s="805">
        <f>IF(ISNUMBER(Datos!Q17),Datos!Q17," - ")</f>
        <v>24</v>
      </c>
      <c r="AA17" s="551">
        <f>IF(ISNUMBER(IF(D_I="SI",Datos!L17,Datos!L17+Datos!AF17)),IF(D_I="SI",Datos!L17,Datos!L17+Datos!AF17)," - ")</f>
        <v>1270</v>
      </c>
      <c r="AB17" s="549"/>
      <c r="AC17" s="549"/>
      <c r="AD17" s="563"/>
      <c r="AE17" s="563">
        <f>IF(ISNUMBER(Datos!R17),Datos!R17," - ")</f>
        <v>153</v>
      </c>
      <c r="AF17" s="693" t="str">
        <f>IF(ISNUMBER(Datos!BV17),Datos!BV17," - ")</f>
        <v xml:space="preserve"> - </v>
      </c>
      <c r="AG17" s="552"/>
      <c r="AH17" s="553"/>
      <c r="AI17" s="554"/>
      <c r="AJ17" s="552">
        <f>IF(ISNUMBER(Datos!M17),Datos!M17," - ")</f>
        <v>87</v>
      </c>
      <c r="AK17" s="693">
        <f>IF(ISNUMBER(Datos!N17),Datos!N17," - ")</f>
        <v>353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4.1233766233766236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89</v>
      </c>
      <c r="Z18" s="805">
        <f>IF(ISNUMBER(Datos!Q18),Datos!Q18," - ")</f>
        <v>1</v>
      </c>
      <c r="AA18" s="551">
        <f>IF(ISNUMBER(Datos!L18),Datos!L18,"-")</f>
        <v>91</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14</v>
      </c>
      <c r="AK18" s="693">
        <f>IF(ISNUMBER(Datos!N18),Datos!N18," - ")</f>
        <v>53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2.0449438202247192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1175</v>
      </c>
      <c r="G23" s="1197">
        <f>SUBTOTAL(9,G16:G22)</f>
        <v>1253</v>
      </c>
      <c r="H23" s="1240">
        <f>SUBTOTAL(9,H16:H22)</f>
        <v>0</v>
      </c>
      <c r="I23" s="1217">
        <f>SUBTOTAL(9,I16:I22)</f>
        <v>0</v>
      </c>
      <c r="J23" s="1164">
        <f>SUBTOTAL(9,J15:J22)</f>
        <v>0</v>
      </c>
      <c r="K23" s="1240">
        <f t="shared" ref="K23:S23" si="5">SUBTOTAL(9,K16:K22)</f>
        <v>0</v>
      </c>
      <c r="L23" s="1240">
        <f t="shared" si="5"/>
        <v>0</v>
      </c>
      <c r="M23" s="1240">
        <f t="shared" si="5"/>
        <v>0</v>
      </c>
      <c r="N23" s="1240">
        <f t="shared" si="5"/>
        <v>21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705</v>
      </c>
      <c r="Z23" s="1240">
        <f t="shared" si="6"/>
        <v>25</v>
      </c>
      <c r="AA23" s="1240">
        <f t="shared" si="6"/>
        <v>1361</v>
      </c>
      <c r="AB23" s="1240">
        <f t="shared" si="6"/>
        <v>0</v>
      </c>
      <c r="AC23" s="1240">
        <f t="shared" si="6"/>
        <v>0</v>
      </c>
      <c r="AD23" s="1240">
        <f t="shared" si="6"/>
        <v>0</v>
      </c>
      <c r="AE23" s="1240">
        <f t="shared" si="6"/>
        <v>154</v>
      </c>
      <c r="AF23" s="1240">
        <f t="shared" si="6"/>
        <v>0</v>
      </c>
      <c r="AG23" s="1240">
        <f t="shared" si="6"/>
        <v>0</v>
      </c>
      <c r="AH23" s="1240">
        <f t="shared" si="6"/>
        <v>0</v>
      </c>
      <c r="AI23" s="1240">
        <f t="shared" si="6"/>
        <v>0</v>
      </c>
      <c r="AJ23" s="1240">
        <f t="shared" si="6"/>
        <v>101</v>
      </c>
      <c r="AK23" s="1240">
        <f t="shared" si="6"/>
        <v>406</v>
      </c>
      <c r="AL23" s="1240">
        <f t="shared" si="6"/>
        <v>0</v>
      </c>
      <c r="AM23" s="1240">
        <f t="shared" si="6"/>
        <v>0</v>
      </c>
      <c r="AN23" s="1240">
        <f t="shared" si="6"/>
        <v>0</v>
      </c>
      <c r="AO23" s="1242">
        <f>IF(ISNUMBER(((NºAsuntos!I23/NºAsuntos!G23)*11)/factor_trimestre),((NºAsuntos!I23/NºAsuntos!G23)*11)/factor_trimestre," - ")</f>
        <v>3.860992907801418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1208</v>
      </c>
      <c r="G31" s="1117">
        <f t="shared" si="12"/>
        <v>1286</v>
      </c>
      <c r="H31" s="1118">
        <f t="shared" si="12"/>
        <v>0</v>
      </c>
      <c r="I31" s="1117">
        <f t="shared" si="12"/>
        <v>0</v>
      </c>
      <c r="J31" s="1119">
        <f t="shared" si="12"/>
        <v>0</v>
      </c>
      <c r="K31" s="1117">
        <f t="shared" si="12"/>
        <v>0</v>
      </c>
      <c r="L31" s="1120">
        <f t="shared" si="12"/>
        <v>0</v>
      </c>
      <c r="M31" s="1117">
        <f t="shared" si="12"/>
        <v>0</v>
      </c>
      <c r="N31" s="1118">
        <f t="shared" si="12"/>
        <v>177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705</v>
      </c>
      <c r="Z31" s="1124">
        <f t="shared" si="13"/>
        <v>121</v>
      </c>
      <c r="AA31" s="1125">
        <f t="shared" si="13"/>
        <v>1407</v>
      </c>
      <c r="AB31" s="1125">
        <f t="shared" si="13"/>
        <v>0</v>
      </c>
      <c r="AC31" s="1125">
        <f t="shared" si="13"/>
        <v>0</v>
      </c>
      <c r="AD31" s="1126">
        <f t="shared" si="13"/>
        <v>0</v>
      </c>
      <c r="AE31" s="1126">
        <f t="shared" si="13"/>
        <v>6418</v>
      </c>
      <c r="AF31" s="1127">
        <f t="shared" si="13"/>
        <v>0</v>
      </c>
      <c r="AG31" s="1128">
        <f t="shared" si="13"/>
        <v>0</v>
      </c>
      <c r="AH31" s="1129">
        <f t="shared" si="13"/>
        <v>0</v>
      </c>
      <c r="AI31" s="1127">
        <f t="shared" si="13"/>
        <v>0</v>
      </c>
      <c r="AJ31" s="1117">
        <f t="shared" si="13"/>
        <v>281</v>
      </c>
      <c r="AK31" s="1117">
        <f t="shared" si="13"/>
        <v>677</v>
      </c>
      <c r="AL31" s="1117">
        <f t="shared" si="13"/>
        <v>0</v>
      </c>
      <c r="AM31" s="1130">
        <f t="shared" si="13"/>
        <v>0</v>
      </c>
      <c r="AN31" s="1120">
        <f>IF(ISNUMBER(Datos!K31/Datos!J31),Datos!K31/Datos!J31," - ")</f>
        <v>0.87700192184497117</v>
      </c>
      <c r="AO31" s="1120">
        <f>IF(ISNUMBER(FIND("06",Criterios!A8,1)),(IF(ISNUMBER(((Datos!R31/Datos!Q31)*11)/factor_trimestre),((Datos!R31/Datos!Q31)*11)/factor_trimestre," - ")),(IF(ISNUMBER(((Datos!L31/Datos!K31)*11)/factor_trimestre),((Datos!L31/Datos!K31)*11)/factor_trimestre," - ")))</f>
        <v>7.4623813002191381</v>
      </c>
      <c r="AP31" s="1131" t="str">
        <f>IF(ISNUMBER(Datos!CI31/Datos!CJ31),Datos!CI31/Datos!CJ31," - ")</f>
        <v xml:space="preserve"> - </v>
      </c>
      <c r="AQ31" s="1131">
        <f>IF(OR(ISNUMBER(FIND("01",Criterios!A8,1)),ISNUMBER(FIND("02",Criterios!A8,1)),ISNUMBER(FIND("03",Criterios!A8,1)),ISNUMBER(FIND("04",Criterios!A8,1))),(J31-Y31+K31)/(F31-K31),(I31-Y31+K31)/(F31-K31))</f>
        <v>-0.58360927152317876</v>
      </c>
      <c r="AR31" s="1131">
        <f>IF(ISNUMBER((Datos!P31-Datos!Q31+O31)/(Datos!R31-Datos!P31+Datos!Q31-O31)),(Datos!P31-Datos!Q31+O31)/(Datos!R31-Datos!P31+Datos!Q31-O31)," - ")</f>
        <v>8.802263439170073E-3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367.42857142857144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598.4288317474909</v>
      </c>
      <c r="G33" s="674">
        <f>IF(ISNUMBER(STDEV(G8:G30)),STDEV(G8:G30),"-")</f>
        <v>579.34873123271132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78.636142181206068</v>
      </c>
      <c r="AK33" s="276"/>
      <c r="AL33" s="276">
        <f>IF(ISNUMBER(STDEV(AL8:AL30)),STDEV(AL8:AL30),"-")</f>
        <v>0</v>
      </c>
      <c r="AM33" s="278">
        <f>IF(ISNUMBER(STDEV(AM8:AM30)),STDEV(AM8:AM30),"-")</f>
        <v>0</v>
      </c>
      <c r="AN33" s="660">
        <f>IF(ISNUMBER(STDEV(AN8:AN30)),STDEV(AN8:AN30),"-")</f>
        <v>0</v>
      </c>
      <c r="AO33" s="661">
        <f>IF(ISNUMBER(STDEV(AO8:AO30)),STDEV(AO8:AO30),"-")</f>
        <v>3.9925368779685786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qdfRNoTfIXMeTBZDzTAQgOWS8d6PUIC7r9JOtmqevOpoewWdmCWToa3yTDKLlEy5YxI4yyQe6XXUpZTJE9TPg==" saltValue="Z70Nec7Kr9ijiwAWKSDij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0LMMqMSCduZZK/LED9QIMWlS7PD2G7TmYTnwcjRKfXpUyhk9NKmae34lJxhsVMJwS5EssbIL5k+NwzgOK1W/g==" saltValue="CZacz5YraHW9eSGhFaPu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AEmmgElmZwu/fyIpKzjDVC/0OA/I5ULsQXANZYXWjHeJsIqdMTvp45tkqBzratYxnJzXBs5iSJFFLcGdkI4+A==" saltValue="/X200UbeA70Cfdod00Gg1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NOVELDA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0.25034770514603616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0.1770225599632525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jQioeRps4oVv8VmzO6Tv+yJOxJNJMV4L7mOVc/DM57urTeVK8CTX7KfMAv5fL9+0W7Bh5fQp7XJvWbGLBS3bw==" saltValue="35xhUV9zKmZzGteVpY0K2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sFkKrmXJHcSXk7FmfkUtvrTD8DnieAxVh+/RYfayPesQJLrpJMEHnrROI+d1jEOPkxfoF7sabvu96xv7c9Osw==" saltValue="gJT/TwP89Nmp8GhdoDwD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NOVELDA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33</v>
      </c>
      <c r="D10" s="452">
        <f>IF(ISNUMBER(C10/Datos!BH10),C10/Datos!BH10," - ")</f>
        <v>33</v>
      </c>
      <c r="E10" s="451">
        <f>IF(ISNUMBER(Datos!J10),Datos!J10," - ")</f>
        <v>13</v>
      </c>
      <c r="F10" s="452">
        <f>IF(ISNUMBER(E10/B10),E10/B10," - ")</f>
        <v>13</v>
      </c>
      <c r="G10" s="451">
        <f>IF(ISNUMBER(Datos!K10),Datos!K10," - ")</f>
        <v>0</v>
      </c>
      <c r="H10" s="452">
        <f>IF(ISNUMBER(G10/B10),G10/B10," - ")</f>
        <v>0</v>
      </c>
      <c r="I10" s="451">
        <f>IF(ISNUMBER(Datos!L10),Datos!L10," - ")</f>
        <v>46</v>
      </c>
      <c r="J10" s="452">
        <f>IF(ISNUMBER(I10/B10),I10/B10," - ")</f>
        <v>46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3674</v>
      </c>
      <c r="D12" s="452">
        <f>IF(ISNUMBER(C12/Datos!BH12),C12/Datos!BH12," - ")</f>
        <v>918.5</v>
      </c>
      <c r="E12" s="451">
        <f>IF(ISNUMBER(IF(J_V="SI",Datos!J12,Datos!J12+Datos!Z12)),IF(J_V="SI",Datos!J12,Datos!J12+Datos!Z12)," - ")</f>
        <v>791</v>
      </c>
      <c r="F12" s="452">
        <f>IF(ISNUMBER(E12/B12),E12/B12," - ")</f>
        <v>197.75</v>
      </c>
      <c r="G12" s="451">
        <f>IF(ISNUMBER(IF(J_V="SI",Datos!K12,Datos!K12+Datos!AA12)),IF(J_V="SI",Datos!K12,Datos!K12+Datos!AA12)," - ")</f>
        <v>719</v>
      </c>
      <c r="H12" s="452">
        <f>IF(ISNUMBER(G12/B12),G12/B12," - ")</f>
        <v>179.75</v>
      </c>
      <c r="I12" s="451">
        <f>IF(ISNUMBER(IF(J_V="SI",Datos!L12,Datos!L12+Datos!AB12)),IF(J_V="SI",Datos!L12,Datos!L12+Datos!AB12)," - ")</f>
        <v>3746</v>
      </c>
      <c r="J12" s="452">
        <f>IF(ISNUMBER(I12/B12),I12/B12," - ")</f>
        <v>936.5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3707</v>
      </c>
      <c r="D14" s="1147" t="str">
        <f>IF(ISNUMBER(C14/Datos!BI14),C14/Datos!BI14," - ")</f>
        <v xml:space="preserve"> - </v>
      </c>
      <c r="E14" s="1146">
        <f>SUBTOTAL(9,E8:E13)</f>
        <v>804</v>
      </c>
      <c r="F14" s="1147">
        <f>IF(ISNUMBER(E14/B14),E14/B14," - ")</f>
        <v>201</v>
      </c>
      <c r="G14" s="1146">
        <f>SUBTOTAL(9,G8:G13)</f>
        <v>719</v>
      </c>
      <c r="H14" s="1147">
        <f>IF(ISNUMBER(G14/B14),G14/B14," - ")</f>
        <v>179.75</v>
      </c>
      <c r="I14" s="1146">
        <f>SUBTOTAL(9,I8:I13)</f>
        <v>3792</v>
      </c>
      <c r="J14" s="1147">
        <f>IF(ISNUMBER(I14/B14),I14/B14," - ")</f>
        <v>948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1175</v>
      </c>
      <c r="D17" s="452">
        <f>IF(ISNUMBER(C17/Datos!BH17),C17/Datos!BH17," - ")</f>
        <v>293.75</v>
      </c>
      <c r="E17" s="451">
        <f>IF(ISNUMBER(IF(D_I="SI",Datos!J17,Datos!J17+Datos!AD17)),IF(D_I="SI",Datos!J17,Datos!J17+Datos!AD17)," - ")</f>
        <v>711</v>
      </c>
      <c r="F17" s="452">
        <f>IF(ISNUMBER(E17/B17),E17/B17," - ")</f>
        <v>177.75</v>
      </c>
      <c r="G17" s="451">
        <f>IF(ISNUMBER(IF(D_I="SI",Datos!K17,Datos!K17+Datos!AE17)),IF(D_I="SI",Datos!K17,Datos!K17+Datos!AE17)," - ")</f>
        <v>616</v>
      </c>
      <c r="H17" s="452">
        <f>IF(ISNUMBER(G17/B17),G17/B17," - ")</f>
        <v>154</v>
      </c>
      <c r="I17" s="451">
        <f>IF(ISNUMBER(IF(D_I="SI",Datos!L17,Datos!L17+Datos!AF17)),IF(D_I="SI",Datos!L17,Datos!L17+Datos!AF17)," - ")</f>
        <v>1270</v>
      </c>
      <c r="J17" s="452">
        <f>IF(ISNUMBER(I17/B17),I17/B17," - ")</f>
        <v>317.5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78</v>
      </c>
      <c r="D18" s="452">
        <f>IF(ISNUMBER(C18/Datos!BH18),C18/Datos!BH18," - ")</f>
        <v>78</v>
      </c>
      <c r="E18" s="451">
        <f>IF(ISNUMBER(IF(D_I="SI",Datos!J18,Datos!J18+Datos!AD18)),IF(D_I="SI",Datos!J18,Datos!J18+Datos!AD18)," - ")</f>
        <v>102</v>
      </c>
      <c r="F18" s="452">
        <f>IF(ISNUMBER(E18/B18),E18/B18," - ")</f>
        <v>102</v>
      </c>
      <c r="G18" s="451">
        <f>IF(ISNUMBER(IF(D_I="SI",Datos!K18,Datos!K18+Datos!AE18)),IF(D_I="SI",Datos!K18,Datos!K18+Datos!AE18)," - ")</f>
        <v>89</v>
      </c>
      <c r="H18" s="452">
        <f>IF(ISNUMBER(G18/B18),G18/B18," - ")</f>
        <v>89</v>
      </c>
      <c r="I18" s="451">
        <f>IF(ISNUMBER(IF(D_I="SI",Datos!L18,Datos!L18+Datos!AF18)),IF(D_I="SI",Datos!L18,Datos!L18+Datos!AF18)," - ")</f>
        <v>91</v>
      </c>
      <c r="J18" s="452">
        <f>IF(ISNUMBER(I18/B18),I18/B18," - ")</f>
        <v>91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1253</v>
      </c>
      <c r="D23" s="1147" t="str">
        <f>IF(ISNUMBER(C23/Datos!BI23),C23/Datos!BI23," - ")</f>
        <v xml:space="preserve"> - </v>
      </c>
      <c r="E23" s="1146">
        <f>SUBTOTAL(9,E15:E22)</f>
        <v>813</v>
      </c>
      <c r="F23" s="1147">
        <f>IF(ISNUMBER(E23/B23),E23/B23," - ")</f>
        <v>203.25</v>
      </c>
      <c r="G23" s="1146">
        <f>SUBTOTAL(9,G15:G22)</f>
        <v>705</v>
      </c>
      <c r="H23" s="1147">
        <f>IF(ISNUMBER(G23/B23),G23/B23," - ")</f>
        <v>176.25</v>
      </c>
      <c r="I23" s="1146">
        <f>SUBTOTAL(9,I15:I22)</f>
        <v>1361</v>
      </c>
      <c r="J23" s="1147">
        <f>IF(ISNUMBER(I23/B23),I23/B23," - ")</f>
        <v>340.25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4960</v>
      </c>
      <c r="D31" s="1085" t="str">
        <f>IF(ISNUMBER(C31/Datos!BI31),C31/Datos!BI31," - ")</f>
        <v xml:space="preserve"> - </v>
      </c>
      <c r="E31" s="1084">
        <f>SUBTOTAL(9,E9:E30)</f>
        <v>1617</v>
      </c>
      <c r="F31" s="1085">
        <f>IF(ISNUMBER(E31/B31),E31/B31," - ")</f>
        <v>404.25</v>
      </c>
      <c r="G31" s="1084">
        <f>SUBTOTAL(9,G9:G30)</f>
        <v>1424</v>
      </c>
      <c r="H31" s="1085">
        <f>IF(ISNUMBER(G31/B31),G31/B31," - ")</f>
        <v>356</v>
      </c>
      <c r="I31" s="1084">
        <f>SUBTOTAL(9,I9:I30)</f>
        <v>5153</v>
      </c>
      <c r="J31" s="1085">
        <f>IF(ISNUMBER(I31/B31),I31/B31," - ")</f>
        <v>1288.25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4skIIrZCFCFRTdhSu+EKkhPN1qX/fAvFXGUMfUtzsVGvb/fOJLOVDjk/sP5FZ2LSwVFmC1DZ+9A6lmspIY+gfg==" saltValue="N4DmjBUkmwJp0b5GJ7UuQ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NOVELDA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33</v>
      </c>
      <c r="G10" s="906">
        <f>IF(ISNUMBER(Datos!I10),Datos!I10," - ")</f>
        <v>33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46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6249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180</v>
      </c>
      <c r="AM12" s="914">
        <f>IF(ISNUMBER(Datos!N12+DatosP!N17),Datos!N12+DatosP!N17," - ")</f>
        <v>271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10.420027816411682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9.8577892695539751E-3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33</v>
      </c>
      <c r="G14" s="1256">
        <f t="shared" si="0"/>
        <v>33</v>
      </c>
      <c r="H14" s="1256">
        <f t="shared" si="0"/>
        <v>0</v>
      </c>
      <c r="I14" s="1258">
        <f t="shared" si="0"/>
        <v>0</v>
      </c>
      <c r="J14" s="1257">
        <f t="shared" si="0"/>
        <v>0</v>
      </c>
      <c r="K14" s="1257">
        <f t="shared" si="0"/>
        <v>0</v>
      </c>
      <c r="L14" s="1259">
        <f t="shared" si="0"/>
        <v>0</v>
      </c>
      <c r="M14" s="1259">
        <f t="shared" si="0"/>
        <v>0</v>
      </c>
      <c r="N14" s="1257">
        <f t="shared" si="0"/>
        <v>156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95</v>
      </c>
      <c r="AE14" s="1257">
        <f t="shared" si="1"/>
        <v>0</v>
      </c>
      <c r="AF14" s="1257">
        <f t="shared" si="1"/>
        <v>46</v>
      </c>
      <c r="AG14" s="1257">
        <f t="shared" si="1"/>
        <v>0</v>
      </c>
      <c r="AH14" s="1257">
        <f t="shared" si="1"/>
        <v>6249</v>
      </c>
      <c r="AI14" s="1257">
        <f t="shared" si="1"/>
        <v>0</v>
      </c>
      <c r="AJ14" s="1257">
        <f t="shared" si="1"/>
        <v>0</v>
      </c>
      <c r="AK14" s="1257">
        <f t="shared" si="1"/>
        <v>0</v>
      </c>
      <c r="AL14" s="1257">
        <f t="shared" si="1"/>
        <v>180</v>
      </c>
      <c r="AM14" s="1257">
        <f t="shared" si="1"/>
        <v>271</v>
      </c>
      <c r="AN14" s="1257">
        <f t="shared" si="1"/>
        <v>0</v>
      </c>
      <c r="AO14" s="1257">
        <f t="shared" si="1"/>
        <v>0</v>
      </c>
      <c r="AP14" s="1262">
        <f>IF(ISNUMBER(((Datos!L14/Datos!K14)*11)/factor_trimestre),((Datos!L14/Datos!K14)*11)/factor_trimestre," - ")</f>
        <v>11.286144578313253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9.8577892695539751E-3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3.860992907801418</v>
      </c>
      <c r="AQ23" s="1262">
        <f>IF(ISNUMBER(((Datos!M23/Datos!L23)*11)/factor_trimestre),((Datos!M23/Datos!L23)*11)/factor_trimestre," - ")</f>
        <v>0.14842027920646583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-2.5316455696202531E-2</v>
      </c>
      <c r="AW23" s="1265">
        <f>IF(ISNUMBER((Datos!Q23-Datos!R23)/(Datos!S23-Datos!Q23+Datos!R23)),(Datos!Q23-Datos!R23)/(Datos!S23-Datos!Q23+Datos!R23)," - ")</f>
        <v>-9.2872570194384454E-2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33</v>
      </c>
      <c r="G31" s="1278">
        <f t="shared" si="8"/>
        <v>33</v>
      </c>
      <c r="H31" s="1278">
        <f t="shared" si="8"/>
        <v>0</v>
      </c>
      <c r="I31" s="1279">
        <f t="shared" si="8"/>
        <v>0</v>
      </c>
      <c r="J31" s="1280">
        <f t="shared" si="8"/>
        <v>0</v>
      </c>
      <c r="K31" s="1280">
        <f t="shared" si="8"/>
        <v>0</v>
      </c>
      <c r="L31" s="1280">
        <f t="shared" si="8"/>
        <v>0</v>
      </c>
      <c r="M31" s="1280">
        <f t="shared" si="8"/>
        <v>0</v>
      </c>
      <c r="N31" s="1279">
        <f t="shared" si="8"/>
        <v>156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95</v>
      </c>
      <c r="AE31" s="1284">
        <f t="shared" si="9"/>
        <v>0</v>
      </c>
      <c r="AF31" s="1285">
        <f t="shared" si="9"/>
        <v>46</v>
      </c>
      <c r="AG31" s="1285">
        <f t="shared" si="9"/>
        <v>0</v>
      </c>
      <c r="AH31" s="1285">
        <f t="shared" si="9"/>
        <v>6249</v>
      </c>
      <c r="AI31" s="1285">
        <f t="shared" si="9"/>
        <v>0</v>
      </c>
      <c r="AJ31" s="1286">
        <f t="shared" si="9"/>
        <v>0</v>
      </c>
      <c r="AK31" s="1286">
        <f t="shared" si="9"/>
        <v>0</v>
      </c>
      <c r="AL31" s="1278">
        <f t="shared" si="9"/>
        <v>180</v>
      </c>
      <c r="AM31" s="1278">
        <f t="shared" si="9"/>
        <v>271</v>
      </c>
      <c r="AN31" s="1278">
        <f t="shared" si="9"/>
        <v>0</v>
      </c>
      <c r="AO31" s="1278">
        <f t="shared" si="9"/>
        <v>0</v>
      </c>
      <c r="AP31" s="1278">
        <f>IF(ISNUMBER(((Datos!L31/Datos!K31)*11)/factor_trimestre),((Datos!L31/Datos!K31)*11)/factor_trimestre," - ")</f>
        <v>7.4623813002191381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8.802263439170073E-3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18.074844397670482</v>
      </c>
      <c r="G33" s="1007">
        <f>IF(ISNUMBER(STDEV(G8:G30)),STDEV(G8:G30),"-")</f>
        <v>18.074844397670482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92.951600308978001</v>
      </c>
      <c r="AM33" s="1006"/>
      <c r="AN33" s="1006">
        <f>IF(ISNUMBER(STDEV(AN8:AN30)),STDEV(AN8:AN30),"-")</f>
        <v>0</v>
      </c>
      <c r="AO33" s="1012">
        <f>IF(ISNUMBER(STDEV(AO8:AO30)),STDEV(AO8:AO30),"-")</f>
        <v>0</v>
      </c>
      <c r="AP33" s="1065">
        <f>IF(ISNUMBER(STDEV(AP8:AP30)),STDEV(AP8:AP30),"-")</f>
        <v>4.0600487375506447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IzCJIeDB0IDJ64LxqQVuo6AdOndUM/pxShYZsjQJXERAg93Fm2WvpvaDjFZ0sg6Xf4Nluk3oPeRDHn+/paqTkQ==" saltValue="vpR773k325iGTpOFn0Kv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NOVELDA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8FyINFGqr8Kmtc7T50135h3pFMTJr/DTtMetgMqwILPmhwuyF8aYhJfCbHJYcYwDpjI1d44Dsrm+PAR6GJMaoQ==" saltValue="BLfCHkiRVEVSfsa8XCUNw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NOVELDA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180</v>
      </c>
      <c r="E12" s="452">
        <f t="shared" si="0"/>
        <v>45</v>
      </c>
      <c r="F12" s="451">
        <f>IF(ISNUMBER(Datos!N12),Datos!N12," - ")</f>
        <v>271</v>
      </c>
      <c r="G12" s="452">
        <f t="shared" si="1"/>
        <v>67.75</v>
      </c>
      <c r="H12" s="451">
        <f>IF(ISNUMBER(Datos!O12),Datos!O12," - ")</f>
        <v>352</v>
      </c>
      <c r="I12" s="452">
        <f t="shared" si="2"/>
        <v>88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180</v>
      </c>
      <c r="E14" s="1147">
        <f t="shared" si="0"/>
        <v>36</v>
      </c>
      <c r="F14" s="1146">
        <f>SUBTOTAL(9,F9:F13)</f>
        <v>271</v>
      </c>
      <c r="G14" s="1147">
        <f t="shared" si="1"/>
        <v>54.2</v>
      </c>
      <c r="H14" s="1146">
        <f>SUBTOTAL(9,H9:H13)</f>
        <v>352</v>
      </c>
      <c r="I14" s="1147">
        <f>IF(ISNUMBER(H14/B14),H14/B14," - ")</f>
        <v>70.400000000000006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87</v>
      </c>
      <c r="E17" s="452">
        <f t="shared" si="3"/>
        <v>21.75</v>
      </c>
      <c r="F17" s="451">
        <f>IF(ISNUMBER(Datos!N17),Datos!N17," - ")</f>
        <v>353</v>
      </c>
      <c r="G17" s="452">
        <f t="shared" si="4"/>
        <v>88.25</v>
      </c>
      <c r="H17" s="451">
        <f>IF(ISNUMBER(Datos!O17),Datos!O17," - ")</f>
        <v>0</v>
      </c>
      <c r="I17" s="452">
        <f t="shared" si="5"/>
        <v>0</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53</v>
      </c>
      <c r="G18" s="452">
        <f>IF(ISNUMBER(F18/B18),F18/B18," - ")</f>
        <v>53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101</v>
      </c>
      <c r="E23" s="1147">
        <f t="shared" si="3"/>
        <v>20.2</v>
      </c>
      <c r="F23" s="1146">
        <f>SUBTOTAL(9,F16:F22)</f>
        <v>406</v>
      </c>
      <c r="G23" s="1147">
        <f t="shared" si="4"/>
        <v>81.2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281</v>
      </c>
      <c r="E31" s="1085">
        <f>IF(ISNUMBER(D31/B31),D31/B31," - ")</f>
        <v>70.25</v>
      </c>
      <c r="F31" s="1084">
        <f>SUBTOTAL(9,F8:F30)</f>
        <v>677</v>
      </c>
      <c r="G31" s="1085">
        <f>IF(ISNUMBER(F31/B31),F31/B31," - ")</f>
        <v>169.25</v>
      </c>
      <c r="H31" s="1084">
        <f>SUBTOTAL(9,H8:H30)</f>
        <v>352</v>
      </c>
      <c r="I31" s="1085">
        <f>IF(ISNUMBER(H31/B31),H31/B31," - ")</f>
        <v>88</v>
      </c>
    </row>
    <row r="34" spans="1:1">
      <c r="A34" s="439" t="str">
        <f>Criterios!A4</f>
        <v>Fecha Informe: 06 may. 2023</v>
      </c>
    </row>
    <row r="39" spans="1:1">
      <c r="A39" s="462"/>
    </row>
  </sheetData>
  <sheetProtection algorithmName="SHA-512" hashValue="Zhv3aV25l7S6BkUTukrBt2uOtYebcFYAlwb+B3HVgZPxSE2uH1W0mJZRNp+6oK5FqmYp+vwim7Jfr28D5nPjNQ==" saltValue="Wxpgst7qKIJVFSG6b/qe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NOVELDA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15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156</v>
      </c>
      <c r="C12" s="489">
        <f>IF(ISNUMBER(Datos!Q12),Datos!Q12," - ")</f>
        <v>95</v>
      </c>
      <c r="D12" s="456">
        <f>IF(ISNUMBER(Datos!R12),Datos!R12," - ")</f>
        <v>6249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156</v>
      </c>
      <c r="C14" s="1150">
        <f>SUBTOTAL(9,C9:C13)</f>
        <v>96</v>
      </c>
      <c r="D14" s="1148">
        <f>SUBTOTAL(9,D9:D13)</f>
        <v>6264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20</v>
      </c>
      <c r="C17" s="489">
        <f>IF(ISNUMBER(Datos!Q17),Datos!Q17," - ")</f>
        <v>24</v>
      </c>
      <c r="D17" s="456">
        <f>IF(ISNUMBER(Datos!R17),Datos!R17," - ")</f>
        <v>153</v>
      </c>
    </row>
    <row r="18" spans="1:4">
      <c r="A18" s="450" t="str">
        <f>Datos!A18</f>
        <v>Jdos. Violencia contra la mujer</v>
      </c>
      <c r="B18" s="488">
        <f>IF(ISNUMBER(Datos!P18),Datos!P18," - ")</f>
        <v>1</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v>
      </c>
      <c r="C23" s="1150">
        <f>SUBTOTAL(9,C16:C22)</f>
        <v>25</v>
      </c>
      <c r="D23" s="1148">
        <f>SUBTOTAL(9,D16:D22)</f>
        <v>154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177</v>
      </c>
      <c r="C31" s="1089">
        <f>SUBTOTAL(9,C8:C30)</f>
        <v>121</v>
      </c>
      <c r="D31" s="1090">
        <f>SUBTOTAL(9,D8:D30)</f>
        <v>6418</v>
      </c>
    </row>
    <row r="32" spans="1:4" ht="7.5" customHeight="1"/>
    <row r="33" spans="1:1" ht="6" customHeight="1"/>
    <row r="34" spans="1:1">
      <c r="A34" s="439" t="str">
        <f>Criterios!A4</f>
        <v>Fecha Informe: 06 may. 2023</v>
      </c>
    </row>
    <row r="39" spans="1:1">
      <c r="A39" s="462"/>
    </row>
  </sheetData>
  <sheetProtection algorithmName="SHA-512" hashValue="O+onYkEcucSZkTC6IAugYtz4DgtIzNotTeowfBm6ULzhKVuvX+SEMWopBGv0U8j0xs8OyZSUt6xCAiaToOQPLg==" saltValue="V40fI0S9vacV8eCC2R89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NOVELDA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-2.9411764705882353E-2</v>
      </c>
      <c r="C10" s="515">
        <f>IF(ISNUMBER((Datos!J10-Datos!T10)/Datos!T10),(Datos!J10-Datos!T10)/Datos!T10," - ")</f>
        <v>1.6</v>
      </c>
      <c r="D10" s="515">
        <f>IF(ISNUMBER((Datos!K10-Datos!U10)/Datos!U10),(Datos!K10-Datos!U10)/Datos!U10," - ")</f>
        <v>-1</v>
      </c>
      <c r="E10" s="515">
        <f>IF(ISNUMBER((Datos!L10-Datos!V10)/Datos!V10),(Datos!L10-Datos!V10)/Datos!V10," - ")</f>
        <v>0.35294117647058826</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0.14276827371695178</v>
      </c>
      <c r="C12" s="515">
        <f>IF(ISNUMBER(
   IF(J_V="SI",(Datos!J12-Datos!T12)/Datos!T12,(Datos!J12+Datos!Z12-(Datos!T12+Datos!AH12))/(Datos!T12+Datos!AH12))
     ),IF(J_V="SI",(Datos!J12-Datos!T12)/Datos!T12,(Datos!J12+Datos!Z12-(Datos!T12+Datos!AH12))/(Datos!T12+Datos!AH12))," - ")</f>
        <v>0.20212765957446807</v>
      </c>
      <c r="D12" s="515">
        <f>IF(ISNUMBER(
   IF(J_V="SI",(Datos!K12-Datos!U12)/Datos!U12,(Datos!K12+Datos!AA12-(Datos!U12+Datos!AI12))/(Datos!U12+Datos!AI12))
     ),IF(J_V="SI",(Datos!K12-Datos!U12)/Datos!U12,(Datos!K12+Datos!AA12-(Datos!U12+Datos!AI12))/(Datos!U12+Datos!AI12))," - ")</f>
        <v>5.5800293685756244E-2</v>
      </c>
      <c r="E12" s="515">
        <f>IF(ISNUMBER(
   IF(J_V="SI",(Datos!L12-Datos!V12)/Datos!V12,(Datos!L12+Datos!AB12-(Datos!V12+Datos!AJ12))/(Datos!V12+Datos!AJ12))
     ),IF(J_V="SI",(Datos!L12-Datos!V12)/Datos!V12,(Datos!L12+Datos!AB12-(Datos!V12+Datos!AJ12))/(Datos!V12+Datos!AJ12))," - ")</f>
        <v>0.17355889724310777</v>
      </c>
      <c r="F12" s="515">
        <f>IF(ISNUMBER((Datos!M12-Datos!W12)/Datos!W12),(Datos!M12-Datos!W12)/Datos!W12," - ")</f>
        <v>0.48760330578512395</v>
      </c>
      <c r="G12" s="516">
        <f>IF(ISNUMBER((Datos!N12-Datos!X12)/Datos!X12),(Datos!N12-Datos!X12)/Datos!X12," - ")</f>
        <v>0.19911504424778761</v>
      </c>
      <c r="H12" s="514">
        <f>IF(ISNUMBER(((NºAsuntos!G12/NºAsuntos!E12)-Datos!BD12)/Datos!BD12),((NºAsuntos!G12/NºAsuntos!E12)-Datos!BD12)/Datos!BD12," - ")</f>
        <v>-0.12172364950034445</v>
      </c>
      <c r="I12" s="515">
        <f>IF(ISNUMBER(((NºAsuntos!I12/NºAsuntos!G12)-Datos!BE12)/Datos!BE12),((NºAsuntos!I12/NºAsuntos!G12)-Datos!BE12)/Datos!BE12," - ")</f>
        <v>0.11153492214541913</v>
      </c>
      <c r="J12" s="521">
        <f>IF(ISNUMBER((('Resol  Asuntos'!D12/NºAsuntos!G12)-Datos!BF12)/Datos!BF12),(('Resol  Asuntos'!D12/NºAsuntos!G12)-Datos!BF12)/Datos!BF12," - ")</f>
        <v>-0.24563368493605925</v>
      </c>
      <c r="K12" s="522">
        <f>IF(ISNUMBER((((NºAsuntos!C12+NºAsuntos!E12)/NºAsuntos!G12)-Datos!BG12)/Datos!BG12),(((NºAsuntos!C12+NºAsuntos!E12)/NºAsuntos!G12)-Datos!BG12)/Datos!BG12," - ")</f>
        <v>9.1923436996689353E-2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0.14096645121575868</v>
      </c>
      <c r="C14" s="1152">
        <f>IF(ISNUMBER(
   IF(J_V="SI",(Datos!J14-Datos!T14)/Datos!T14,(Datos!J14+Datos!Z14-(Datos!T14+Datos!AH14))/(Datos!T14+Datos!AH14))
     ),IF(J_V="SI",(Datos!J14-Datos!T14)/Datos!T14,(Datos!J14+Datos!Z14-(Datos!T14+Datos!AH14))/(Datos!T14+Datos!AH14))," - ")</f>
        <v>0.21266968325791855</v>
      </c>
      <c r="D14" s="1152">
        <f>IF(ISNUMBER(
   IF(J_V="SI",(Datos!K14-Datos!U14)/Datos!U14,(Datos!K14+Datos!AA14-(Datos!U14+Datos!AI14))/(Datos!U14+Datos!AI14))
     ),IF(J_V="SI",(Datos!K14-Datos!U14)/Datos!U14,(Datos!K14+Datos!AA14-(Datos!U14+Datos!AI14))/(Datos!U14+Datos!AI14))," - ")</f>
        <v>4.8104956268221574E-2</v>
      </c>
      <c r="E14" s="1152">
        <f>IF(ISNUMBER(
   IF(J_V="SI",(Datos!L14-Datos!V14)/Datos!V14,(Datos!L14+Datos!AB14-(Datos!V14+Datos!AJ14))/(Datos!V14+Datos!AJ14))
     ),IF(J_V="SI",(Datos!L14-Datos!V14)/Datos!V14,(Datos!L14+Datos!AB14-(Datos!V14+Datos!AJ14))/(Datos!V14+Datos!AJ14))," - ")</f>
        <v>0.17544947303161809</v>
      </c>
      <c r="F14" s="1153">
        <f>IF(ISNUMBER((Datos!M14-Datos!W14)/Datos!W14),(Datos!M14-Datos!W14)/Datos!W14," - ")</f>
        <v>0.47540983606557374</v>
      </c>
      <c r="G14" s="1154">
        <f>IF(ISNUMBER((Datos!N14-Datos!X14)/Datos!X14),(Datos!N14-Datos!X14)/Datos!X14," - ")</f>
        <v>0.19383259911894274</v>
      </c>
      <c r="H14" s="1154">
        <f>IF(ISNUMBER(((NºAsuntos!G14/NºAsuntos!E14)-Datos!BD14)/Datos!BD14),((NºAsuntos!G14/NºAsuntos!E14)-Datos!BD14)/Datos!BD14," - ")</f>
        <v>-0.13570449501762333</v>
      </c>
      <c r="I14" s="1154">
        <f>IF(ISNUMBER(((NºAsuntos!I14/NºAsuntos!G14)-Datos!BE14)/Datos!BE14),((NºAsuntos!I14/NºAsuntos!G14)-Datos!BE14)/Datos!BE14," - ")</f>
        <v>0.12149977538204455</v>
      </c>
      <c r="J14" s="1154">
        <f>IF(ISNUMBER((('Resol  Asuntos'!D14/NºAsuntos!G14)-Datos!BF14)/Datos!BF14),(('Resol  Asuntos'!D14/NºAsuntos!G14)-Datos!BF14)/Datos!BF14," - ")</f>
        <v>-0.24344261792871894</v>
      </c>
      <c r="K14" s="1154">
        <f>IF(ISNUMBER((((NºAsuntos!C14+NºAsuntos!E14)/NºAsuntos!G14)-Datos!BG14)/Datos!BG14),(((NºAsuntos!C14+NºAsuntos!E14)/NºAsuntos!G14)-Datos!BG14)/Datos!BG14," - ")</f>
        <v>0.10019383317547947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5.9931506849315065E-3</v>
      </c>
      <c r="C17" s="515">
        <f>IF(ISNUMBER(
   IF(D_I="SI",(Datos!J17-Datos!T17)/Datos!T17,(Datos!J17+Datos!AD17-(Datos!T17+Datos!AL17))/(Datos!T17+Datos!AL17))
     ),IF(D_I="SI",(Datos!J17-Datos!T17)/Datos!T17,(Datos!J17+Datos!AD17-(Datos!T17+Datos!AL17))/(Datos!T17+Datos!AL17))," - ")</f>
        <v>0.40513833992094861</v>
      </c>
      <c r="D17" s="515">
        <f>IF(ISNUMBER(
   IF(D_I="SI",(Datos!K17-Datos!U17)/Datos!U17,(Datos!K17+Datos!AE17-(Datos!U17+Datos!AM17))/(Datos!U17+Datos!AM17))
     ),IF(D_I="SI",(Datos!K17-Datos!U17)/Datos!U17,(Datos!K17+Datos!AE17-(Datos!U17+Datos!AM17))/(Datos!U17+Datos!AM17))," - ")</f>
        <v>0.28333333333333333</v>
      </c>
      <c r="E17" s="515">
        <f>IF(ISNUMBER(
   IF(D_I="SI",(Datos!L17-Datos!V17)/Datos!V17,(Datos!L17+Datos!AF17-(Datos!V17+Datos!AN17))/(Datos!V17+Datos!AN17))
     ),IF(D_I="SI",(Datos!L17-Datos!V17)/Datos!V17,(Datos!L17+Datos!AF17-(Datos!V17+Datos!AN17))/(Datos!V17+Datos!AN17))," - ")</f>
        <v>0.19248826291079812</v>
      </c>
      <c r="F17" s="515">
        <f>IF(ISNUMBER((Datos!M17-Datos!W17)/Datos!W17),(Datos!M17-Datos!W17)/Datos!W17," - ")</f>
        <v>-0.20909090909090908</v>
      </c>
      <c r="G17" s="516">
        <f>IF(ISNUMBER((Datos!N17-Datos!X17)/Datos!X17),(Datos!N17-Datos!X17)/Datos!X17," - ")</f>
        <v>0.61187214611872143</v>
      </c>
      <c r="H17" s="514">
        <f>IF(ISNUMBER(((NºAsuntos!G17/NºAsuntos!E17)-Datos!BD17)/Datos!BD17),((NºAsuntos!G17/NºAsuntos!E17)-Datos!BD17)/Datos!BD17," - ")</f>
        <v>-8.6685419596811919E-2</v>
      </c>
      <c r="I17" s="515">
        <f>IF(ISNUMBER(((NºAsuntos!I17/NºAsuntos!G17)-Datos!BE17)/Datos!BE17),((NºAsuntos!I17/NºAsuntos!G17)-Datos!BE17)/Datos!BE17," - ")</f>
        <v>-7.0788366563014404E-2</v>
      </c>
      <c r="J17" s="521">
        <f>IF(ISNUMBER((('Resol  Asuntos'!D17/NºAsuntos!G17)-Datos!BF17)/Datos!BF17),(('Resol  Asuntos'!D17/NºAsuntos!G17)-Datos!BF17)/Datos!BF17," - ")</f>
        <v>-0.38370720188902002</v>
      </c>
      <c r="K17" s="522">
        <f>IF(ISNUMBER((((NºAsuntos!C17+NºAsuntos!E17)/NºAsuntos!G17)-Datos!BG17)/Datos!BG17),(((NºAsuntos!C17+NºAsuntos!E17)/NºAsuntos!G17)-Datos!BG17)/Datos!BG17," - ")</f>
        <v>-0.12209654145138009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-0.15217391304347827</v>
      </c>
      <c r="C18" s="515">
        <f>IF(ISNUMBER(
   IF(D_I="SI",(Datos!J18-Datos!T18)/Datos!T18,(Datos!J18+Datos!AD18-(Datos!T18+Datos!AL18))/(Datos!T18+Datos!AL18))
     ),IF(D_I="SI",(Datos!J18-Datos!T18)/Datos!T18,(Datos!J18+Datos!AD18-(Datos!T18+Datos!AL18))/(Datos!T18+Datos!AL18))," - ")</f>
        <v>-5.5555555555555552E-2</v>
      </c>
      <c r="D18" s="515">
        <f>IF(ISNUMBER(
   IF(D_I="SI",(Datos!K18-Datos!U18)/Datos!U18,(Datos!K18+Datos!AE18-(Datos!U18+Datos!AM18))/(Datos!U18+Datos!AM18))
     ),IF(D_I="SI",(Datos!K18-Datos!U18)/Datos!U18,(Datos!K18+Datos!AE18-(Datos!U18+Datos!AM18))/(Datos!U18+Datos!AM18))," - ")</f>
        <v>-0.20535714285714285</v>
      </c>
      <c r="E18" s="515">
        <f>IF(ISNUMBER(
   IF(D_I="SI",(Datos!L18-Datos!V18)/Datos!V18,(Datos!L18+Datos!AF18-(Datos!V18+Datos!AN18))/(Datos!V18+Datos!AN18))
     ),IF(D_I="SI",(Datos!L18-Datos!V18)/Datos!V18,(Datos!L18+Datos!AF18-(Datos!V18+Datos!AN18))/(Datos!V18+Datos!AN18))," - ")</f>
        <v>3.4090909090909088E-2</v>
      </c>
      <c r="F18" s="515">
        <f>IF(ISNUMBER((Datos!M18-Datos!W18)/Datos!W18),(Datos!M18-Datos!W18)/Datos!W18," - ")</f>
        <v>-0.26315789473684209</v>
      </c>
      <c r="G18" s="516">
        <f>IF(ISNUMBER((Datos!N18-Datos!X18)/Datos!X18),(Datos!N18-Datos!X18)/Datos!X18," - ")</f>
        <v>-0.32911392405063289</v>
      </c>
      <c r="H18" s="514">
        <f>IF(ISNUMBER(((NºAsuntos!G18/NºAsuntos!E18)-Datos!BD18)/Datos!BD18),((NºAsuntos!G18/NºAsuntos!E18)-Datos!BD18)/Datos!BD18," - ")</f>
        <v>-0.1586134453781512</v>
      </c>
      <c r="I18" s="515">
        <f>IF(ISNUMBER(((NºAsuntos!I18/NºAsuntos!G18)-Datos!BE18)/Datos!BE18),((NºAsuntos!I18/NºAsuntos!G18)-Datos!BE18)/Datos!BE18," - ")</f>
        <v>0.30132788559754864</v>
      </c>
      <c r="J18" s="521">
        <f>IF(ISNUMBER((('Resol  Asuntos'!D18/NºAsuntos!G18)-Datos!BF18)/Datos!BF18),(('Resol  Asuntos'!D18/NºAsuntos!G18)-Datos!BF18)/Datos!BF18," - ")</f>
        <v>-7.2738024837374404E-2</v>
      </c>
      <c r="K18" s="522">
        <f>IF(ISNUMBER((((NºAsuntos!C18+NºAsuntos!E18)/NºAsuntos!G18)-Datos!BG18)/Datos!BG18),(((NºAsuntos!C18+NºAsuntos!E18)/NºAsuntos!G18)-Datos!BG18)/Datos!BG18," - ")</f>
        <v>0.13258426966292131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-5.5555555555555558E-3</v>
      </c>
      <c r="C23" s="1152">
        <f>IF(ISNUMBER(
   IF(Criterios!B14="SI",(Datos!J23-Datos!T23)/Datos!T23,(Datos!J23+Datos!AD23-(Datos!T23+Datos!AL23))/(Datos!T23+Datos!AL23))
     ),IF(Criterios!B14="SI",(Datos!J23-Datos!T23)/Datos!T23,(Datos!J23+Datos!AD23-(Datos!T23+Datos!AL23))/(Datos!T23+Datos!AL23))," - ")</f>
        <v>0.32410423452768727</v>
      </c>
      <c r="D23" s="1152">
        <f>IF(ISNUMBER(
   IF(Criterios!B14="SI",(Datos!K23-Datos!U23)/Datos!U23,(Datos!K23+Datos!AE23-(Datos!U23+Datos!AM23))/(Datos!U23+Datos!AM23))
     ),IF(Criterios!B14="SI",(Datos!K23-Datos!U23)/Datos!U23,(Datos!K23+Datos!AE23-(Datos!U23+Datos!AM23))/(Datos!U23+Datos!AM23))," - ")</f>
        <v>0.19087837837837837</v>
      </c>
      <c r="E23" s="1152">
        <f>IF(ISNUMBER(
   IF(Criterios!B14="SI",(Datos!L23-Datos!V23)/Datos!V23,(Datos!L23+Datos!AF23-(Datos!V23+Datos!AN23))/(Datos!V23+Datos!AN23))
     ),IF(Criterios!B14="SI",(Datos!L23-Datos!V23)/Datos!V23,(Datos!L23+Datos!AF23-(Datos!V23+Datos!AN23))/(Datos!V23+Datos!AN23))," - ")</f>
        <v>0.18039895923677363</v>
      </c>
      <c r="F23" s="1153">
        <f>IF(ISNUMBER((Datos!M23-Datos!W23)/Datos!W23),(Datos!M23-Datos!W23)/Datos!W23," - ")</f>
        <v>-0.21705426356589147</v>
      </c>
      <c r="G23" s="1154">
        <f>IF(ISNUMBER((Datos!N23-Datos!X23)/Datos!X23),(Datos!N23-Datos!X23)/Datos!X23," - ")</f>
        <v>0.36241610738255031</v>
      </c>
      <c r="H23" s="1154">
        <f>IF(ISNUMBER(((NºAsuntos!G23/NºAsuntos!E23)-Datos!BD23)/Datos!BD23),((NºAsuntos!G23/NºAsuntos!E23)-Datos!BD23)/Datos!BD23," - ")</f>
        <v>-0.10061583723945344</v>
      </c>
      <c r="I23" s="1154">
        <f>IF(ISNUMBER(((NºAsuntos!I23/NºAsuntos!G23)-Datos!BE23)/Datos!BE23),((NºAsuntos!I23/NºAsuntos!G23)-Datos!BE23)/Datos!BE23," - ")</f>
        <v>-8.7997391940850891E-3</v>
      </c>
      <c r="J23" s="1154">
        <f>IF(ISNUMBER((('Resol  Asuntos'!D23/NºAsuntos!G23)-Datos!BF23)/Datos!BF23),(('Resol  Asuntos'!D23/NºAsuntos!G23)-Datos!BF23)/Datos!BF23," - ")</f>
        <v>-0.34254769366100385</v>
      </c>
      <c r="K23" s="1154">
        <f>IF(ISNUMBER((((NºAsuntos!C23+NºAsuntos!E23)/NºAsuntos!G23)-Datos!BG23)/Datos!BG23),(((NºAsuntos!C23+NºAsuntos!E23)/NºAsuntos!G23)-Datos!BG23)/Datos!BG23," - ")</f>
        <v>-7.425085341023481E-2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0.10002217786648925</v>
      </c>
      <c r="C31" s="1092">
        <f>IF(ISNUMBER(
   IF(J_V="SI",(Datos!J31-Datos!T31)/Datos!T31,(Datos!J31+Datos!Z31-(Datos!T31+Datos!AH31))/(Datos!T31+Datos!AH31))
     ),IF(J_V="SI",(Datos!J31-Datos!T31)/Datos!T31,(Datos!J31+Datos!Z31-(Datos!T31+Datos!AH31))/(Datos!T31+Datos!AH31))," - ")</f>
        <v>0.26624902114330462</v>
      </c>
      <c r="D31" s="1092">
        <f>IF(ISNUMBER(
   IF(J_V="SI",(Datos!K31-Datos!U31)/Datos!U31,(Datos!K31+Datos!AA31-(Datos!U31+Datos!AI31))/(Datos!U31+Datos!AI31))
     ),IF(J_V="SI",(Datos!K31-Datos!U31)/Datos!U31,(Datos!K31+Datos!AA31-(Datos!U31+Datos!AI31))/(Datos!U31+Datos!AI31))," - ")</f>
        <v>0.11424100156494522</v>
      </c>
      <c r="E31" s="1092">
        <f>IF(ISNUMBER(
   IF(J_V="SI",(Datos!L31-Datos!V31)/Datos!V31,(Datos!L31+Datos!AB31-(Datos!V31+Datos!AJ31))/(Datos!V31+Datos!AJ31))
     ),IF(J_V="SI",(Datos!L31-Datos!V31)/Datos!V31,(Datos!L31+Datos!AB31-(Datos!V31+Datos!AJ31))/(Datos!V31+Datos!AJ31))," - ")</f>
        <v>0.17675268326101851</v>
      </c>
      <c r="F31" s="1093">
        <f>IF(ISNUMBER((Datos!M31-Datos!W31)/Datos!W31),(Datos!M31-Datos!W31)/Datos!W31," - ")</f>
        <v>0.11952191235059761</v>
      </c>
      <c r="G31" s="1094">
        <f>IF(ISNUMBER((Datos!N31-Datos!X31)/Datos!X31),(Datos!N31-Datos!X31)/Datos!X31," - ")</f>
        <v>0.28952380952380952</v>
      </c>
      <c r="H31" s="1095">
        <f>IF(ISNUMBER((Tasas!B31-Datos!BD31)/Datos!BD31),(Tasas!B31-Datos!BD31)/Datos!BD31," - ")</f>
        <v>-0.12004591280245196</v>
      </c>
      <c r="I31" s="1096">
        <f>IF(ISNUMBER((Tasas!C31-Datos!BE31)/Datos!BE31),(Tasas!C31-Datos!BE31)/Datos!BE31," - ")</f>
        <v>5.6102478376110661E-2</v>
      </c>
      <c r="J31" s="1097">
        <f>IF(ISNUMBER((Tasas!D31-Datos!BF31)/Datos!BF31),(Tasas!D31-Datos!BF31)/Datos!BF31," - ")</f>
        <v>-0.29160222825400839</v>
      </c>
      <c r="K31" s="1097">
        <f>IF(ISNUMBER((Tasas!E31-Datos!BG31)/Datos!BG31),(Tasas!E31-Datos!BG31)/Datos!BG31," - ")</f>
        <v>2.016466519339603E-2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qAygdNpWGFdMnmiNUo4y1F7QzK97Ssx1hJqpxaX4b4woEhKGWq2e2JLLkhCwPOW1DuyfG2OQjotUqKrMjro/w==" saltValue="UY+3j5+uXMlbpWBTdAG5z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NOVELDA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0.90897597977243993</v>
      </c>
      <c r="C12" s="498">
        <f>IF(ISNUMBER(NºAsuntos!I12/NºAsuntos!G12),NºAsuntos!I12/NºAsuntos!G12," - ")</f>
        <v>5.2100139082058412</v>
      </c>
      <c r="D12" s="499">
        <f>IF(ISNUMBER('Resol  Asuntos'!D12/NºAsuntos!G12),'Resol  Asuntos'!D12/NºAsuntos!G12," - ")</f>
        <v>0.25034770514603616</v>
      </c>
      <c r="E12" s="500">
        <f>IF(ISNUMBER((NºAsuntos!C12+NºAsuntos!E12)/NºAsuntos!G12),(NºAsuntos!C12+NºAsuntos!E12)/NºAsuntos!G12," - ")</f>
        <v>6.2100139082058412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0.89427860696517414</v>
      </c>
      <c r="C14" s="1156">
        <f>IF(ISNUMBER(NºAsuntos!I14/NºAsuntos!G14),NºAsuntos!I14/NºAsuntos!G14," - ")</f>
        <v>5.2739916550764949</v>
      </c>
      <c r="D14" s="1157">
        <f>IF(ISNUMBER('Resol  Asuntos'!D14/NºAsuntos!G14),'Resol  Asuntos'!D14/NºAsuntos!G14," - ")</f>
        <v>0.25034770514603616</v>
      </c>
      <c r="E14" s="1158">
        <f>IF(ISNUMBER((NºAsuntos!C14+NºAsuntos!E14)/NºAsuntos!G14),(NºAsuntos!C14+NºAsuntos!E14)/NºAsuntos!G14," - ")</f>
        <v>6.2739916550764949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0.86638537271448668</v>
      </c>
      <c r="C17" s="498">
        <f>IF(ISNUMBER(NºAsuntos!I17/NºAsuntos!G17),NºAsuntos!I17/NºAsuntos!G17," - ")</f>
        <v>2.0616883116883118</v>
      </c>
      <c r="D17" s="499">
        <f>IF(ISNUMBER('Resol  Asuntos'!D17/NºAsuntos!G17),'Resol  Asuntos'!D17/NºAsuntos!G17," - ")</f>
        <v>0.14123376623376624</v>
      </c>
      <c r="E17" s="500">
        <f>IF(ISNUMBER((NºAsuntos!C17+NºAsuntos!E17)/NºAsuntos!G17),(NºAsuntos!C17+NºAsuntos!E17)/NºAsuntos!G17," - ")</f>
        <v>3.0616883116883118</v>
      </c>
      <c r="G17" s="523"/>
    </row>
    <row r="18" spans="1:7">
      <c r="A18" s="450" t="str">
        <f>Datos!A18</f>
        <v>Jdos. Violencia contra la mujer</v>
      </c>
      <c r="B18" s="497">
        <f>IF(ISNUMBER(NºAsuntos!G18/NºAsuntos!E18),NºAsuntos!G18/NºAsuntos!E18," - ")</f>
        <v>0.87254901960784315</v>
      </c>
      <c r="C18" s="498">
        <f>IF(ISNUMBER(NºAsuntos!I18/NºAsuntos!G18),NºAsuntos!I18/NºAsuntos!G18," - ")</f>
        <v>1.0224719101123596</v>
      </c>
      <c r="D18" s="499">
        <f>IF(ISNUMBER('Resol  Asuntos'!D18/NºAsuntos!G18),'Resol  Asuntos'!D18/NºAsuntos!G18," - ")</f>
        <v>0.15730337078651685</v>
      </c>
      <c r="E18" s="500">
        <f>IF(ISNUMBER((NºAsuntos!C18+NºAsuntos!E18)/NºAsuntos!G18),(NºAsuntos!C18+NºAsuntos!E18)/NºAsuntos!G18," - ")</f>
        <v>2.0224719101123596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0.86715867158671589</v>
      </c>
      <c r="C23" s="1156">
        <f>IF(ISNUMBER(NºAsuntos!I23/NºAsuntos!G23),NºAsuntos!I23/NºAsuntos!G23," - ")</f>
        <v>1.9304964539007092</v>
      </c>
      <c r="D23" s="1159">
        <f>IF(ISNUMBER('Resol  Asuntos'!D23/NºAsuntos!G23),'Resol  Asuntos'!D23/NºAsuntos!G23," - ")</f>
        <v>0.14326241134751774</v>
      </c>
      <c r="E23" s="1158">
        <f>IF(ISNUMBER((NºAsuntos!C23+NºAsuntos!E23)/NºAsuntos!G23),(NºAsuntos!C23+NºAsuntos!E23)/NºAsuntos!G23," - ")</f>
        <v>2.9304964539007092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0.8806431663574521</v>
      </c>
      <c r="C31" s="1099">
        <f>IF(ISNUMBER(NºAsuntos!I31/NºAsuntos!G31),NºAsuntos!I31/NºAsuntos!G31," - ")</f>
        <v>3.6186797752808988</v>
      </c>
      <c r="D31" s="1100">
        <f>IF(ISNUMBER('Resol  Asuntos'!D31/NºAsuntos!G31),'Resol  Asuntos'!D31/NºAsuntos!G31," - ")</f>
        <v>0.1973314606741573</v>
      </c>
      <c r="E31" s="1101">
        <f>IF(ISNUMBER((NºAsuntos!C31+NºAsuntos!E31)/NºAsuntos!G31),(NºAsuntos!C31+NºAsuntos!E31)/NºAsuntos!G31," - ")</f>
        <v>4.6186797752808992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tos4QDWW2q/CpKO4ekUiqoout5V8k/KSUua71NIBGhGkWMnLw3eBldbRCLbUypRtOnnLcfPmTzz3/P+2KFebQ==" saltValue="6UuPG0Ca92108dGyDyW+X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NOVELDA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33</v>
      </c>
      <c r="G10" s="373">
        <f>IF(ISNUMBER(Datos!I10),Datos!I10," - ")</f>
        <v>33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1</v>
      </c>
      <c r="Y10" s="374">
        <f t="shared" ref="Y10:Y13" si="0">SUM(W10:X10)</f>
        <v>1</v>
      </c>
      <c r="Z10" s="375" t="str">
        <f>IF(ISNUMBER(Datos!CC10),Datos!CC10," - ")</f>
        <v xml:space="preserve"> - </v>
      </c>
      <c r="AA10" s="372">
        <f>IF(ISNUMBER(Datos!L10),Datos!L10,"-")</f>
        <v>46</v>
      </c>
      <c r="AB10" s="374">
        <f>IF(ISNUMBER(Datos!R10),Datos!R10," - ")</f>
        <v>15</v>
      </c>
      <c r="AC10" s="374">
        <f t="shared" ref="AC10:AC13" si="1">IF(ISNUMBER(AA10+AB10),AA10+AB10," - ")</f>
        <v>61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95</v>
      </c>
      <c r="Y12" s="374">
        <f t="shared" si="0"/>
        <v>95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6249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180</v>
      </c>
      <c r="AJ12" s="243" t="str">
        <f>IF(ISNUMBER(Datos!BW12),Datos!BW12," - ")</f>
        <v xml:space="preserve"> - </v>
      </c>
      <c r="AK12" s="242" t="str">
        <f>IF(ISNUMBER(Datos!BX12),Datos!BX12," - ")</f>
        <v xml:space="preserve"> - </v>
      </c>
      <c r="AL12" s="266">
        <f>IF(ISNUMBER(NºAsuntos!G12/NºAsuntos!E12),NºAsuntos!G12/NºAsuntos!E12," - ")</f>
        <v>0.90897597977243993</v>
      </c>
      <c r="AM12" s="284">
        <f>IF(ISNUMBER(((NºAsuntos!I12/NºAsuntos!G12)*11)/factor_trimestre),((NºAsuntos!I12/NºAsuntos!G12)*11)/factor_trimestre," - ")</f>
        <v>10.420027816411682</v>
      </c>
      <c r="AN12" s="267">
        <f>IF(ISNUMBER('Resol  Asuntos'!D12/NºAsuntos!G12),'Resol  Asuntos'!D12/NºAsuntos!G12," - ")</f>
        <v>0.25034770514603616</v>
      </c>
      <c r="AO12" s="268">
        <f>IF(ISNUMBER((NºAsuntos!C12+NºAsuntos!E12)/NºAsuntos!G12),(NºAsuntos!C12+NºAsuntos!E12)/NºAsuntos!G12," - ")</f>
        <v>6.2100139082058412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33</v>
      </c>
      <c r="G14" s="1163">
        <f t="shared" si="5"/>
        <v>33</v>
      </c>
      <c r="H14" s="1162">
        <f t="shared" si="5"/>
        <v>0</v>
      </c>
      <c r="I14" s="1164">
        <f t="shared" si="5"/>
        <v>0</v>
      </c>
      <c r="J14" s="1164">
        <f t="shared" si="5"/>
        <v>0</v>
      </c>
      <c r="K14" s="1164">
        <f t="shared" si="5"/>
        <v>0</v>
      </c>
      <c r="L14" s="1164">
        <f t="shared" si="5"/>
        <v>156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96</v>
      </c>
      <c r="Y14" s="1165">
        <f t="shared" si="6"/>
        <v>96</v>
      </c>
      <c r="Z14" s="1165">
        <f t="shared" si="6"/>
        <v>0</v>
      </c>
      <c r="AA14" s="1165">
        <f t="shared" si="6"/>
        <v>46</v>
      </c>
      <c r="AB14" s="1165">
        <f t="shared" si="6"/>
        <v>6264</v>
      </c>
      <c r="AC14" s="1165">
        <f t="shared" si="6"/>
        <v>61</v>
      </c>
      <c r="AD14" s="1165">
        <f t="shared" si="6"/>
        <v>0</v>
      </c>
      <c r="AE14" s="1169">
        <f t="shared" si="6"/>
        <v>0</v>
      </c>
      <c r="AF14" s="1162">
        <f t="shared" si="6"/>
        <v>0</v>
      </c>
      <c r="AG14" s="1170">
        <f t="shared" si="6"/>
        <v>0</v>
      </c>
      <c r="AH14" s="1167">
        <f t="shared" si="6"/>
        <v>0</v>
      </c>
      <c r="AI14" s="1162">
        <f t="shared" si="6"/>
        <v>180</v>
      </c>
      <c r="AJ14" s="1164">
        <f t="shared" si="6"/>
        <v>0</v>
      </c>
      <c r="AK14" s="1167">
        <f>SUBTOTAL(9,AK9:AK13)</f>
        <v>0</v>
      </c>
      <c r="AL14" s="1171">
        <f>IF(ISNUMBER(NºAsuntos!G14/NºAsuntos!E14),NºAsuntos!G14/NºAsuntos!E14," - ")</f>
        <v>0.89427860696517414</v>
      </c>
      <c r="AM14" s="1171">
        <f>IF(ISNUMBER(((NºAsuntos!I14/NºAsuntos!G14)*11)/factor_trimestre),((NºAsuntos!I14/NºAsuntos!G14)*11)/factor_trimestre," - ")</f>
        <v>10.54798331015299</v>
      </c>
      <c r="AN14" s="1172">
        <f>IF(ISNUMBER('Resol  Asuntos'!D14/NºAsuntos!G14),'Resol  Asuntos'!D14/NºAsuntos!G14," - ")</f>
        <v>0.25034770514603616</v>
      </c>
      <c r="AO14" s="1173">
        <f>IF(ISNUMBER((NºAsuntos!C14+NºAsuntos!E14)/NºAsuntos!G14),(NºAsuntos!C14+NºAsuntos!E14)/NºAsuntos!G14," - ")</f>
        <v>6.2739916550764949</v>
      </c>
      <c r="AP14" s="1174" t="str">
        <f t="shared" si="2"/>
        <v xml:space="preserve"> - </v>
      </c>
      <c r="AQ14" s="1174">
        <f>IF(ISNUMBER((H14-W14+K14)/(F14)),(H14-W14+K14)/(F14)," - ")</f>
        <v>0</v>
      </c>
      <c r="AR14" s="1175">
        <f>IF(ISNUMBER((Datos!P14-Datos!Q14)/(Datos!R14-Datos!P14+Datos!Q14)),(Datos!P14-Datos!Q14)/(Datos!R14-Datos!P14+Datos!Q14)," - ")</f>
        <v>9.6711798839458421E-3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1175</v>
      </c>
      <c r="G17" s="373">
        <f>IF(ISNUMBER(IF(D_I="SI",Datos!I17,Datos!I17+Datos!AC17)),IF(D_I="SI",Datos!I17,Datos!I17+Datos!AC17)," - ")</f>
        <v>1175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616</v>
      </c>
      <c r="X17" s="240">
        <f>IF(ISNUMBER(Datos!Q17),Datos!Q17," - ")</f>
        <v>24</v>
      </c>
      <c r="Y17" s="374">
        <f t="shared" ref="Y17:Y22" si="9">SUM(W17:X17)</f>
        <v>640</v>
      </c>
      <c r="Z17" s="375" t="str">
        <f>IF(ISNUMBER(Datos!CC17),Datos!CC17," - ")</f>
        <v xml:space="preserve"> - </v>
      </c>
      <c r="AA17" s="372">
        <f>IF(ISNUMBER(IF(D_I="SI",Datos!L17,Datos!L17+Datos!AF17)),IF(D_I="SI",Datos!L17,Datos!L17+Datos!AF17)," - ")</f>
        <v>1270</v>
      </c>
      <c r="AB17" s="374">
        <f>IF(ISNUMBER(Datos!R17),Datos!R17," - ")</f>
        <v>153</v>
      </c>
      <c r="AC17" s="374">
        <f t="shared" si="8"/>
        <v>1423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87</v>
      </c>
      <c r="AJ17" s="245" t="str">
        <f>IF(ISNUMBER(Datos!BW17),Datos!BW17," - ")</f>
        <v xml:space="preserve"> - </v>
      </c>
      <c r="AK17" s="246" t="str">
        <f>IF(ISNUMBER(Datos!BX17),Datos!BX17," - ")</f>
        <v xml:space="preserve"> - </v>
      </c>
      <c r="AL17" s="266">
        <f>IF(ISNUMBER(NºAsuntos!G17/NºAsuntos!E17),NºAsuntos!G17/NºAsuntos!E17," - ")</f>
        <v>0.86638537271448668</v>
      </c>
      <c r="AM17" s="284">
        <f>IF(ISNUMBER(((NºAsuntos!I17/NºAsuntos!G17)*11)/factor_trimestre),((NºAsuntos!I17/NºAsuntos!G17)*11)/factor_trimestre," - ")</f>
        <v>4.1233766233766236</v>
      </c>
      <c r="AN17" s="267">
        <f>IF(ISNUMBER('Resol  Asuntos'!D17/NºAsuntos!G17),'Resol  Asuntos'!D17/NºAsuntos!G17," - ")</f>
        <v>0.14123376623376624</v>
      </c>
      <c r="AO17" s="268">
        <f>IF(ISNUMBER((NºAsuntos!C17+NºAsuntos!E17)/NºAsuntos!G17),(NºAsuntos!C17+NºAsuntos!E17)/NºAsuntos!G17," - ")</f>
        <v>3.0616883116883118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89</v>
      </c>
      <c r="X18" s="240">
        <f>IF(ISNUMBER(Datos!Q18),Datos!Q18," - ")</f>
        <v>1</v>
      </c>
      <c r="Y18" s="374">
        <f t="shared" si="9"/>
        <v>90</v>
      </c>
      <c r="Z18" s="375" t="str">
        <f>IF(ISNUMBER(Datos!CC18),Datos!CC18," - ")</f>
        <v xml:space="preserve"> - </v>
      </c>
      <c r="AA18" s="372">
        <f>IF(ISNUMBER(Datos!L18),Datos!L18,"-")</f>
        <v>91</v>
      </c>
      <c r="AB18" s="374">
        <f>IF(ISNUMBER(Datos!R18),Datos!R18," - ")</f>
        <v>1</v>
      </c>
      <c r="AC18" s="374">
        <f t="shared" si="8"/>
        <v>92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0.87254901960784315</v>
      </c>
      <c r="AM18" s="284">
        <f>IF(ISNUMBER(((NºAsuntos!I18/NºAsuntos!G18)*11)/factor_trimestre),((NºAsuntos!I18/NºAsuntos!G18)*11)/factor_trimestre," - ")</f>
        <v>2.0449438202247192</v>
      </c>
      <c r="AN18" s="267">
        <f>IF(ISNUMBER('Resol  Asuntos'!D18/NºAsuntos!G18),'Resol  Asuntos'!D18/NºAsuntos!G18," - ")</f>
        <v>0.15730337078651685</v>
      </c>
      <c r="AO18" s="268">
        <f>IF(ISNUMBER((NºAsuntos!C18+NºAsuntos!E18)/NºAsuntos!G18),(NºAsuntos!C18+NºAsuntos!E18)/NºAsuntos!G18," - ")</f>
        <v>2.0224719101123596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1175</v>
      </c>
      <c r="G23" s="1163">
        <f>SUBTOTAL(9,G16:G22)</f>
        <v>1253</v>
      </c>
      <c r="H23" s="1162">
        <f t="shared" ref="H23:O23" si="13">SUBTOTAL(9,H15:H22)</f>
        <v>0</v>
      </c>
      <c r="I23" s="1164">
        <f t="shared" si="13"/>
        <v>0</v>
      </c>
      <c r="J23" s="1164">
        <f t="shared" si="13"/>
        <v>0</v>
      </c>
      <c r="K23" s="1164">
        <f t="shared" si="13"/>
        <v>0</v>
      </c>
      <c r="L23" s="1164">
        <f t="shared" si="13"/>
        <v>21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705</v>
      </c>
      <c r="X23" s="1164">
        <f t="shared" si="14"/>
        <v>25</v>
      </c>
      <c r="Y23" s="1165">
        <f t="shared" si="14"/>
        <v>730</v>
      </c>
      <c r="Z23" s="1165">
        <f t="shared" si="14"/>
        <v>0</v>
      </c>
      <c r="AA23" s="1165">
        <f t="shared" si="14"/>
        <v>1361</v>
      </c>
      <c r="AB23" s="1165">
        <f t="shared" si="14"/>
        <v>154</v>
      </c>
      <c r="AC23" s="1165">
        <f t="shared" si="14"/>
        <v>1515</v>
      </c>
      <c r="AD23" s="1165">
        <f t="shared" si="14"/>
        <v>0</v>
      </c>
      <c r="AE23" s="1169">
        <f t="shared" si="14"/>
        <v>0</v>
      </c>
      <c r="AF23" s="1162">
        <f t="shared" si="14"/>
        <v>0</v>
      </c>
      <c r="AG23" s="1170">
        <f t="shared" si="14"/>
        <v>0</v>
      </c>
      <c r="AH23" s="1167">
        <f t="shared" si="14"/>
        <v>0</v>
      </c>
      <c r="AI23" s="1162">
        <f t="shared" si="14"/>
        <v>101</v>
      </c>
      <c r="AJ23" s="1164">
        <f t="shared" si="14"/>
        <v>0</v>
      </c>
      <c r="AK23" s="1167">
        <f t="shared" si="14"/>
        <v>0</v>
      </c>
      <c r="AL23" s="1171">
        <f>IF(ISNUMBER(NºAsuntos!G23/NºAsuntos!E23),NºAsuntos!G23/NºAsuntos!E23," - ")</f>
        <v>0.86715867158671589</v>
      </c>
      <c r="AM23" s="1171">
        <f>IF(ISNUMBER(((NºAsuntos!I23/NºAsuntos!G23)*11)/factor_trimestre),((NºAsuntos!I23/NºAsuntos!G23)*11)/factor_trimestre," - ")</f>
        <v>3.860992907801418</v>
      </c>
      <c r="AN23" s="1172">
        <f>IF(ISNUMBER('Resol  Asuntos'!D23/NºAsuntos!G23),'Resol  Asuntos'!D23/NºAsuntos!G23," - ")</f>
        <v>0.14326241134751774</v>
      </c>
      <c r="AO23" s="1173">
        <f>IF(ISNUMBER((NºAsuntos!C23+NºAsuntos!E23)/NºAsuntos!G23),(NºAsuntos!C23+NºAsuntos!E23)/NºAsuntos!G23," - ")</f>
        <v>2.9304964539007092</v>
      </c>
      <c r="AP23" s="1174" t="str">
        <f t="shared" si="2"/>
        <v xml:space="preserve"> - </v>
      </c>
      <c r="AQ23" s="1174">
        <f>IF(ISNUMBER((H23-W23+K23)/(F23)),(H23-W23+K23)/(F23)," - ")</f>
        <v>-0.6</v>
      </c>
      <c r="AR23" s="1175">
        <f>IF(ISNUMBER((Datos!P23-Datos!Q23)/(Datos!R23-Datos!P23+Datos!Q23)),(Datos!P23-Datos!Q23)/(Datos!R23-Datos!P23+Datos!Q23)," - ")</f>
        <v>-2.5316455696202531E-2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1208</v>
      </c>
      <c r="G31" s="1118">
        <f t="shared" si="20"/>
        <v>1286</v>
      </c>
      <c r="H31" s="1117">
        <f t="shared" si="20"/>
        <v>0</v>
      </c>
      <c r="I31" s="1119">
        <f t="shared" si="20"/>
        <v>0</v>
      </c>
      <c r="J31" s="1119">
        <f t="shared" si="20"/>
        <v>0</v>
      </c>
      <c r="K31" s="1180">
        <f t="shared" si="20"/>
        <v>0</v>
      </c>
      <c r="L31" s="1119">
        <f t="shared" si="20"/>
        <v>177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705</v>
      </c>
      <c r="X31" s="1118">
        <f t="shared" si="21"/>
        <v>121</v>
      </c>
      <c r="Y31" s="1125">
        <f t="shared" si="21"/>
        <v>826</v>
      </c>
      <c r="Z31" s="1125">
        <f t="shared" si="21"/>
        <v>0</v>
      </c>
      <c r="AA31" s="1125">
        <f t="shared" si="21"/>
        <v>1407</v>
      </c>
      <c r="AB31" s="1125">
        <f t="shared" si="21"/>
        <v>6418</v>
      </c>
      <c r="AC31" s="1125">
        <f t="shared" si="21"/>
        <v>1576</v>
      </c>
      <c r="AD31" s="1125">
        <f t="shared" si="21"/>
        <v>0</v>
      </c>
      <c r="AE31" s="1127">
        <f t="shared" si="21"/>
        <v>0</v>
      </c>
      <c r="AF31" s="1128">
        <f t="shared" si="21"/>
        <v>0</v>
      </c>
      <c r="AG31" s="1129">
        <f t="shared" si="21"/>
        <v>0</v>
      </c>
      <c r="AH31" s="1127">
        <f t="shared" si="21"/>
        <v>0</v>
      </c>
      <c r="AI31" s="1117">
        <f t="shared" si="21"/>
        <v>281</v>
      </c>
      <c r="AJ31" s="1117">
        <f t="shared" si="21"/>
        <v>0</v>
      </c>
      <c r="AK31" s="1127">
        <f t="shared" si="21"/>
        <v>0</v>
      </c>
      <c r="AL31" s="1183">
        <f>IF(ISNUMBER(NºAsuntos!G31/NºAsuntos!E31),NºAsuntos!G31/NºAsuntos!E31," - ")</f>
        <v>0.8806431663574521</v>
      </c>
      <c r="AM31" s="1184">
        <f>IF(ISNUMBER(((NºAsuntos!I31/NºAsuntos!G31)*11)/factor_trimestre),((NºAsuntos!I31/NºAsuntos!G31)*11)/factor_trimestre," - ")</f>
        <v>7.2373595505617976</v>
      </c>
      <c r="AN31" s="1184">
        <f>IF(ISNUMBER('Resol  Asuntos'!D31/NºAsuntos!G31),'Resol  Asuntos'!D31/NºAsuntos!G31," - ")</f>
        <v>0.1973314606741573</v>
      </c>
      <c r="AO31" s="1185">
        <f>IF(ISNUMBER((NºAsuntos!C31+NºAsuntos!E31)/NºAsuntos!G31),(NºAsuntos!C31+NºAsuntos!E31)/NºAsuntos!G31," - ")</f>
        <v>4.6186797752808992</v>
      </c>
      <c r="AP31" s="1186" t="str">
        <f t="shared" si="2"/>
        <v xml:space="preserve"> - </v>
      </c>
      <c r="AQ31" s="1187">
        <f>IF(OR(ISNUMBER(FIND("01",Criterios!A8,1)),ISNUMBER(FIND("02",Criterios!A8,1)),ISNUMBER(FIND("03",Criterios!A8,1)),ISNUMBER(FIND("04",Criterios!A8,1))),(I31-W31+K31)/(F31-K31),(H31-W31+K31)/(F31-K31))</f>
        <v>-0.58360927152317876</v>
      </c>
      <c r="AR31" s="1188">
        <f>IF(ISNUMBER((Datos!P31-Datos!Q31)/(Datos!R31-Datos!P31+Datos!Q31)),(Datos!P31-Datos!Q31)/(Datos!R31-Datos!P31+Datos!Q31)," - ")</f>
        <v>8.802263439170073E-3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367.42857142857144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598.4288317474909</v>
      </c>
      <c r="G33" s="277">
        <f>IF(ISNUMBER(STDEV(G8:G30)),STDEV(G8:G30),"-")</f>
        <v>579.34873123271132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316.32992120192972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78.636142181206068</v>
      </c>
      <c r="AJ33" s="276">
        <f t="shared" si="25"/>
        <v>0</v>
      </c>
      <c r="AK33" s="278">
        <f t="shared" si="25"/>
        <v>0</v>
      </c>
      <c r="AL33" s="273">
        <f t="shared" si="25"/>
        <v>0.36041920278528533</v>
      </c>
      <c r="AM33" s="274">
        <f t="shared" si="25"/>
        <v>3.9925368779685786</v>
      </c>
      <c r="AN33" s="274">
        <f t="shared" si="25"/>
        <v>5.6797982390218008E-2</v>
      </c>
      <c r="AO33" s="275">
        <f t="shared" si="25"/>
        <v>1.9962684389842902</v>
      </c>
      <c r="AP33" s="317" t="str">
        <f t="shared" si="25"/>
        <v>-</v>
      </c>
      <c r="AQ33" s="318">
        <f t="shared" si="25"/>
        <v>0.42426406871192851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wb+NTSoDinG66vpGr6ukqD3gWcmdrxHgtrFQaCWpNVaSlOSUebjvawc14I1JNDyR45uu0TCwS94G8KUHam0iAA==" saltValue="y1hy20NhH5LhGbZfzGkN0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NOVELDA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-2.9411764705882353E-2</v>
      </c>
      <c r="E10" s="393">
        <f>IF(ISNUMBER((Datos!J10-Datos!T10)/Datos!T10),(Datos!J10-Datos!T10)/Datos!T10," - ")</f>
        <v>1.6</v>
      </c>
      <c r="F10" s="393">
        <f>IF(ISNUMBER((Datos!K10-Datos!U10)/Datos!U10),(Datos!K10-Datos!U10)/Datos!U10," - ")</f>
        <v>-1</v>
      </c>
      <c r="G10" s="394">
        <f>IF(ISNUMBER((Datos!L10-Datos!V10)/Datos!V10),(Datos!L10-Datos!V10)/Datos!V10," - ")</f>
        <v>0.35294117647058826</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0.48760330578512395</v>
      </c>
      <c r="I12" s="395">
        <f>IF(ISNUMBER((Tasas!C12-Datos!BE12)/Datos!BE12),(Tasas!C12-Datos!BE12)/Datos!BE12," - ")</f>
        <v>0.11153492214541913</v>
      </c>
      <c r="J12" s="394">
        <f>IF(ISNUMBER((Tasas!D12-Datos!BF12)/Datos!BF12),(Tasas!D12-Datos!BF12)/Datos!BF12," - ")</f>
        <v>-0.24563368493605925</v>
      </c>
      <c r="K12" s="396">
        <f>IF(ISNUMBER((Tasas!E12-Datos!BG12)/Datos!BG12),(Tasas!E12-Datos!BG12)/Datos!BG12," - ")</f>
        <v>9.1923436996689353E-2</v>
      </c>
      <c r="M12" t="e">
        <f>IF(Monitorios="SI",Datos!CE12,0)</f>
        <v>#REF!</v>
      </c>
      <c r="N12" t="e">
        <f>IF(Monitorios="SI",Datos!CF12,0)</f>
        <v>#REF!</v>
      </c>
      <c r="O12" t="e">
        <f>IF(Monitorios="SI",Datos!CG12,0)</f>
        <v>#REF!</v>
      </c>
      <c r="P12" t="e">
        <f>IF(Monitorios="SI",Datos!CH12,0)</f>
        <v>#REF!</v>
      </c>
      <c r="Q12">
        <f>IF(J_V="SI",0,Datos!AG12)</f>
        <v>81</v>
      </c>
      <c r="R12">
        <f>IF(J_V="SI",0,Datos!AH12)</f>
        <v>53</v>
      </c>
      <c r="S12">
        <f>IF(J_V="SI",0,Datos!AI12)</f>
        <v>76</v>
      </c>
      <c r="T12">
        <f>IF(J_V="SI",0,Datos!AJ12)</f>
        <v>58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0.47540983606557374</v>
      </c>
      <c r="I14" s="402">
        <f>IF(ISNUMBER((Tasas!C14-Datos!BE14)/Datos!BE14),(Tasas!C14-Datos!BE14)/Datos!BE14," - ")</f>
        <v>0.12149977538204455</v>
      </c>
      <c r="J14" s="400">
        <f>IF(ISNUMBER((Tasas!D14-Datos!BF14)/Datos!BF14),(Tasas!D14-Datos!BF14)/Datos!BF14," - ")</f>
        <v>-0.24344261792871894</v>
      </c>
      <c r="K14" s="403">
        <f>IF(ISNUMBER((Tasas!E14-Datos!BG14)/Datos!BG14),(Tasas!E14-Datos!BG14)/Datos!BG14," - ")</f>
        <v>0.10019383317547947</v>
      </c>
      <c r="M14" t="e">
        <f>IF(Monitorios="SI",Datos!CE14,0)</f>
        <v>#REF!</v>
      </c>
      <c r="N14" t="e">
        <f>IF(Monitorios="SI",Datos!CF14,0)</f>
        <v>#REF!</v>
      </c>
      <c r="O14" t="e">
        <f>IF(Monitorios="SI",Datos!CG14,0)</f>
        <v>#REF!</v>
      </c>
      <c r="P14" t="e">
        <f>IF(Monitorios="SI",Datos!CH14,0)</f>
        <v>#REF!</v>
      </c>
      <c r="Q14">
        <f>IF(J_V="SI",0,Datos!AG14)</f>
        <v>81</v>
      </c>
      <c r="R14">
        <f>IF(J_V="SI",0,Datos!AH14)</f>
        <v>53</v>
      </c>
      <c r="S14">
        <f>IF(J_V="SI",0,Datos!AI14)</f>
        <v>76</v>
      </c>
      <c r="T14">
        <f>IF(J_V="SI",0,Datos!AJ14)</f>
        <v>58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5.9931506849315065E-3</v>
      </c>
      <c r="E17" s="393">
        <f>IF(ISNUMBER(
   IF(D_I="SI",(Datos!J17-Datos!T17)/Datos!T17,(Datos!J17+Datos!AD17-(Datos!T17+Datos!AL17))/(Datos!T17+Datos!AL17))
     ),IF(D_I="SI",(Datos!J17-Datos!T17)/Datos!T17,(Datos!J17+Datos!AD17-(Datos!T17+Datos!AL17))/(Datos!T17+Datos!AL17))," - ")</f>
        <v>0.40513833992094861</v>
      </c>
      <c r="F17" s="393">
        <f>IF(ISNUMBER(
   IF(D_I="SI",(Datos!K17-Datos!U17)/Datos!U17,(Datos!K17+Datos!AE17-(Datos!U17+Datos!AM17))/(Datos!U17+Datos!AM17))
     ),IF(D_I="SI",(Datos!K17-Datos!U17)/Datos!U17,(Datos!K17+Datos!AE17-(Datos!U17+Datos!AM17))/(Datos!U17+Datos!AM17))," - ")</f>
        <v>0.28333333333333333</v>
      </c>
      <c r="G17" s="394">
        <f>IF(ISNUMBER(
   IF(D_I="SI",(Datos!L17-Datos!V17)/Datos!V17,(Datos!L17+Datos!AF17-(Datos!V17+Datos!AN17))/(Datos!V17+Datos!AN17))
     ),IF(D_I="SI",(Datos!L17-Datos!V17)/Datos!V17,(Datos!L17+Datos!AF17-(Datos!V17+Datos!AN17))/(Datos!V17+Datos!AN17))," - ")</f>
        <v>0.19248826291079812</v>
      </c>
      <c r="H17" s="244">
        <f>IF(ISNUMBER((Datos!M17-Datos!W17)/Datos!W17),(Datos!M17-Datos!W17)/Datos!W17," - ")</f>
        <v>-0.20909090909090908</v>
      </c>
      <c r="I17" s="395">
        <f>IF(ISNUMBER((Tasas!C17-Datos!BE17)/Datos!BE17),(Tasas!C17-Datos!BE17)/Datos!BE17," - ")</f>
        <v>-7.0788366563014404E-2</v>
      </c>
      <c r="J17" s="394">
        <f>IF(ISNUMBER((Tasas!D17-Datos!BF17)/Datos!BF17),(Tasas!D17-Datos!BF17)/Datos!BF17," - ")</f>
        <v>-0.38370720188902002</v>
      </c>
      <c r="K17" s="396">
        <f>IF(ISNUMBER((Tasas!E17-Datos!BG17)/Datos!BG17),(Tasas!E17-Datos!BG17)/Datos!BG17," - ")</f>
        <v>-0.12209654145138009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-0.15217391304347827</v>
      </c>
      <c r="E18" s="393">
        <f>IF(ISNUMBER(
   IF(D_I="SI",(Datos!J18-Datos!T18)/Datos!T18,(Datos!J18+Datos!AD18-(Datos!T18+Datos!AL18))/(Datos!T18+Datos!AL18))
     ),IF(D_I="SI",(Datos!J18-Datos!T18)/Datos!T18,(Datos!J18+Datos!AD18-(Datos!T18+Datos!AL18))/(Datos!T18+Datos!AL18))," - ")</f>
        <v>-5.5555555555555552E-2</v>
      </c>
      <c r="F18" s="393">
        <f>IF(ISNUMBER(
   IF(D_I="SI",(Datos!K18-Datos!U18)/Datos!U18,(Datos!K18+Datos!AE18-(Datos!U18+Datos!AM18))/(Datos!U18+Datos!AM18))
     ),IF(D_I="SI",(Datos!K18-Datos!U18)/Datos!U18,(Datos!K18+Datos!AE18-(Datos!U18+Datos!AM18))/(Datos!U18+Datos!AM18))," - ")</f>
        <v>-0.20535714285714285</v>
      </c>
      <c r="G18" s="394">
        <f>IF(ISNUMBER(
   IF(D_I="SI",(Datos!L18-Datos!V18)/Datos!V18,(Datos!L18+Datos!AF18-(Datos!V18+Datos!AN18))/(Datos!V18+Datos!AN18))
     ),IF(D_I="SI",(Datos!L18-Datos!V18)/Datos!V18,(Datos!L18+Datos!AF18-(Datos!V18+Datos!AN18))/(Datos!V18+Datos!AN18))," - ")</f>
        <v>3.4090909090909088E-2</v>
      </c>
      <c r="H18" s="244">
        <f>IF(ISNUMBER((Datos!M18-Datos!W18)/Datos!W18),(Datos!M18-Datos!W18)/Datos!W18," - ")</f>
        <v>-0.26315789473684209</v>
      </c>
      <c r="I18" s="395">
        <f>IF(ISNUMBER((Tasas!C18-Datos!BE18)/Datos!BE18),(Tasas!C18-Datos!BE18)/Datos!BE18," - ")</f>
        <v>0.30132788559754864</v>
      </c>
      <c r="J18" s="394">
        <f>IF(ISNUMBER((Tasas!D18-Datos!BF18)/Datos!BF18),(Tasas!D18-Datos!BF18)/Datos!BF18," - ")</f>
        <v>-7.2738024837374404E-2</v>
      </c>
      <c r="K18" s="396">
        <f>IF(ISNUMBER((Tasas!E18-Datos!BG18)/Datos!BG18),(Tasas!E18-Datos!BG18)/Datos!BG18," - ")</f>
        <v>0.13258426966292131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-5.5555555555555558E-3</v>
      </c>
      <c r="E23" s="399">
        <f>IF(ISNUMBER(
   IF(D_I="SI",(Datos!J23-Datos!T23)/Datos!T23,(Datos!J23+Datos!AD23-(Datos!T23+Datos!AL23))/(Datos!T23+Datos!AL23))
     ),IF(D_I="SI",(Datos!J23-Datos!T23)/Datos!T23,(Datos!J23+Datos!AD23-(Datos!T23+Datos!AL23))/(Datos!T23+Datos!AL23))," - ")</f>
        <v>0.32410423452768727</v>
      </c>
      <c r="F23" s="399">
        <f>IF(ISNUMBER(
   IF(D_I="SI",(Datos!K23-Datos!U23)/Datos!U23,(Datos!K23+Datos!AE23-(Datos!U23+Datos!AM23))/(Datos!U23+Datos!AM23))
     ),IF(D_I="SI",(Datos!K23-Datos!U23)/Datos!U23,(Datos!K23+Datos!AE23-(Datos!U23+Datos!AM23))/(Datos!U23+Datos!AM23))," - ")</f>
        <v>0.19087837837837837</v>
      </c>
      <c r="G23" s="400">
        <f>IF(ISNUMBER(
   IF(D_I="SI",(Datos!L23-Datos!V23)/Datos!V23,(Datos!L23+Datos!AF23-(Datos!V23+Datos!AN23))/(Datos!V23+Datos!AN23))
     ),IF(D_I="SI",(Datos!L23-Datos!V23)/Datos!V23,(Datos!L23+Datos!AF23-(Datos!V23+Datos!AN23))/(Datos!V23+Datos!AN23))," - ")</f>
        <v>0.18039895923677363</v>
      </c>
      <c r="H23" s="401">
        <f>IF(ISNUMBER((Datos!M23-Datos!W23)/Datos!W23),(Datos!M23-Datos!W23)/Datos!W23," - ")</f>
        <v>-0.21705426356589147</v>
      </c>
      <c r="I23" s="402">
        <f>IF(ISNUMBER((Tasas!C23-Datos!BE23)/Datos!BE23),(Tasas!C23-Datos!BE23)/Datos!BE23," - ")</f>
        <v>-8.7997391940850891E-3</v>
      </c>
      <c r="J23" s="400">
        <f>IF(ISNUMBER((Tasas!D23-Datos!BF23)/Datos!BF23),(Tasas!D23-Datos!BF23)/Datos!BF23," - ")</f>
        <v>-0.34254769366100385</v>
      </c>
      <c r="K23" s="403">
        <f>IF(ISNUMBER((Tasas!E23-Datos!BG23)/Datos!BG23),(Tasas!E23-Datos!BG23)/Datos!BG23," - ")</f>
        <v>-7.425085341023481E-2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0.10002217786648925</v>
      </c>
      <c r="E31" s="409">
        <f>IF(ISNUMBER(
   IF(J_V="SI",(Datos!J31-Datos!T31)/Datos!T31,(Datos!J31+Datos!Z31-(Datos!T31+Datos!AH31))/(Datos!T31+Datos!AH31))
     ),IF(J_V="SI",(Datos!J31-Datos!T31)/Datos!T31,(Datos!J31+Datos!Z31-(Datos!T31+Datos!AH31))/(Datos!T31+Datos!AH31))," - ")</f>
        <v>0.26624902114330462</v>
      </c>
      <c r="F31" s="409">
        <f>IF(ISNUMBER(
   IF(J_V="SI",(Datos!K31-Datos!U31)/Datos!U31,(Datos!K31+Datos!AA31-(Datos!U31+Datos!AI31))/(Datos!U31+Datos!AI31))
     ),IF(J_V="SI",(Datos!K31-Datos!U31)/Datos!U31,(Datos!K31+Datos!AA31-(Datos!U31+Datos!AI31))/(Datos!U31+Datos!AI31))," - ")</f>
        <v>0.11424100156494522</v>
      </c>
      <c r="G31" s="410">
        <f>IF(ISNUMBER(
   IF(J_V="SI",(Datos!L31-Datos!V31)/Datos!V31,(Datos!L31+Datos!AB31-(Datos!V31+Datos!AJ31))/(Datos!V31+Datos!AJ31))
     ),IF(J_V="SI",(Datos!L31-Datos!V31)/Datos!V31,(Datos!L31+Datos!AB31-(Datos!V31+Datos!AJ31))/(Datos!V31+Datos!AJ31))," - ")</f>
        <v>0.17675268326101851</v>
      </c>
      <c r="H31" s="411">
        <f>IF(ISNUMBER((Datos!M31-Datos!W31)/Datos!W31),(Datos!M31-Datos!W31)/Datos!W31," - ")</f>
        <v>0.11952191235059761</v>
      </c>
      <c r="I31" s="408">
        <f>IF(ISNUMBER((Tasas!C31-Datos!BE31)/Datos!BE31),(Tasas!C31-Datos!BE31)/Datos!BE31," - ")</f>
        <v>5.6102478376110661E-2</v>
      </c>
      <c r="J31" s="409">
        <f>IF(ISNUMBER((Tasas!D31-Datos!BF31)/Datos!BF31),(Tasas!D31-Datos!BF31)/Datos!BF31," - ")</f>
        <v>-0.29160222825400839</v>
      </c>
      <c r="K31" s="410">
        <f>IF(ISNUMBER((Tasas!E31-Datos!BG31)/Datos!BG31),(Tasas!E31-Datos!BG31)/Datos!BG31," - ")</f>
        <v>2.016466519339603E-2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7.2766926570425827E-2</v>
      </c>
      <c r="E33" s="303">
        <f t="shared" si="1"/>
        <v>0.71643885156493314</v>
      </c>
      <c r="F33" s="303">
        <f t="shared" si="1"/>
        <v>0.58459116165669611</v>
      </c>
      <c r="G33" s="304">
        <f t="shared" si="1"/>
        <v>0.13032758907966949</v>
      </c>
      <c r="H33" s="310">
        <f t="shared" si="1"/>
        <v>0.55424524521344076</v>
      </c>
      <c r="I33" s="302">
        <f t="shared" si="1"/>
        <v>0.1429380915921761</v>
      </c>
      <c r="J33" s="303">
        <f t="shared" si="1"/>
        <v>0.12003823358890593</v>
      </c>
      <c r="K33" s="304">
        <f t="shared" si="1"/>
        <v>0.11531815598366628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XM9AWDa/vWCMq5PPn+n2rQI48ZjoEJTnHKGJXDZPeS+5vxcFruWx+oEd5VunpPgnb9IeZL3eAiYK7fDZd5oxg==" saltValue="mnWwFWxUC2PYPNdD8wevW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